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901"/>
  <workbookPr/>
  <mc:AlternateContent xmlns:mc="http://schemas.openxmlformats.org/markup-compatibility/2006">
    <mc:Choice Requires="x15">
      <x15ac:absPath xmlns:x15ac="http://schemas.microsoft.com/office/spreadsheetml/2010/11/ac" url="C:\Users\david_000\Desktop\"/>
    </mc:Choice>
  </mc:AlternateContent>
  <xr:revisionPtr revIDLastSave="0" documentId="8_{AFCD92D0-33FC-4706-BA70-C65C063F2EDB}" xr6:coauthVersionLast="46" xr6:coauthVersionMax="46" xr10:uidLastSave="{00000000-0000-0000-0000-000000000000}"/>
  <bookViews>
    <workbookView xWindow="-108" yWindow="-108" windowWidth="23256" windowHeight="12576" tabRatio="918" xr2:uid="{00000000-000D-0000-FFFF-FFFF00000000}"/>
  </bookViews>
  <sheets>
    <sheet name="Original String Scale" sheetId="9" r:id="rId1"/>
  </sheets>
  <externalReferences>
    <externalReference r:id="rId2"/>
    <externalReference r:id="rId3"/>
  </externalReferences>
  <definedNames>
    <definedName name="_L1" localSheetId="0">'Original String Scale'!$AG$7</definedName>
    <definedName name="_L1">#REF!</definedName>
    <definedName name="_L2" localSheetId="0">'Original String Scale'!$AH$7</definedName>
    <definedName name="_L2">#REF!</definedName>
    <definedName name="Db" localSheetId="0">'Original String Scale'!$V$10:$V$97</definedName>
    <definedName name="Db">#REF!</definedName>
    <definedName name="Dc" localSheetId="0">'Original String Scale'!$F$10:$F$97</definedName>
    <definedName name="Dc">#REF!</definedName>
    <definedName name="Dw" localSheetId="0">'Original String Scale'!$G$10:$G$97</definedName>
    <definedName name="Dw">#REF!</definedName>
    <definedName name="fork" localSheetId="0">'Original String Scale'!$A$7</definedName>
    <definedName name="fork">#REF!</definedName>
    <definedName name="Freq" localSheetId="0">'Original String Scale'!$T$10:$T$97</definedName>
    <definedName name="Freq">#REF!</definedName>
    <definedName name="Ic" localSheetId="0">'Original String Scale'!$Q$10:$Q$97</definedName>
    <definedName name="Ic">#REF!</definedName>
    <definedName name="Icore" localSheetId="0">'Original String Scale'!$N$10:$N$97</definedName>
    <definedName name="Icore">#REF!</definedName>
    <definedName name="Iend" localSheetId="0">'Original String Scale'!$O$10:$O$97</definedName>
    <definedName name="Iend">#REF!</definedName>
    <definedName name="Istep" localSheetId="0">'Original String Scale'!$P$10:$P$97</definedName>
    <definedName name="Istep">#REF!</definedName>
    <definedName name="La">#REF!</definedName>
    <definedName name="Lbp">#REF!</definedName>
    <definedName name="Lew">#REF!</definedName>
    <definedName name="Lin" localSheetId="0">'Original String Scale'!$E$10:$E$97</definedName>
    <definedName name="Lin">#REF!</definedName>
    <definedName name="Lmm" localSheetId="0">'Original String Scale'!$D$10:$D$97</definedName>
    <definedName name="Lmm">#REF!</definedName>
    <definedName name="Lsw">#REF!</definedName>
    <definedName name="Ns" localSheetId="0">'Original String Scale'!$I$10:$I$97</definedName>
    <definedName name="Ns">#REF!</definedName>
    <definedName name="Ra" localSheetId="0">'Original String Scale'!$X$10:$X$97</definedName>
    <definedName name="Ra">#REF!</definedName>
    <definedName name="T" localSheetId="0">'Original String Scale'!$K$10:$K$97</definedName>
    <definedName name="T">#REF!</definedName>
    <definedName name="Tu" localSheetId="0">'Original String Scale'!$L$10:$L$97</definedName>
    <definedName name="Tu">#REF!</definedName>
    <definedName name="Ul" localSheetId="0">'Original String Scale'!$W$10:$W$97</definedName>
    <definedName name="Ul">#REF!</definedName>
    <definedName name="Un" localSheetId="0">'Original String Scale'!$B$10:$B$97</definedName>
    <definedName name="Un">#REF!</definedName>
    <definedName name="WDia" localSheetId="0">'Original String Scale'!$V$12:$V$43</definedName>
    <definedName name="WDia">#REF!</definedName>
    <definedName name="WM" localSheetId="0">'Original String Scale'!$J$10:$J$97</definedName>
    <definedName name="WM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6" i="9" l="1"/>
  <c r="E36" i="9" s="1"/>
  <c r="D37" i="9"/>
  <c r="D38" i="9"/>
  <c r="E38" i="9" s="1"/>
  <c r="D39" i="9"/>
  <c r="D40" i="9"/>
  <c r="E40" i="9" s="1"/>
  <c r="D41" i="9"/>
  <c r="D42" i="9"/>
  <c r="E42" i="9" s="1"/>
  <c r="D43" i="9"/>
  <c r="D44" i="9"/>
  <c r="E44" i="9" s="1"/>
  <c r="D45" i="9"/>
  <c r="D46" i="9"/>
  <c r="D47" i="9"/>
  <c r="D48" i="9"/>
  <c r="D49" i="9"/>
  <c r="D50" i="9"/>
  <c r="D51" i="9"/>
  <c r="D52" i="9"/>
  <c r="D53" i="9"/>
  <c r="D54" i="9"/>
  <c r="D55" i="9"/>
  <c r="D56" i="9"/>
  <c r="D57" i="9"/>
  <c r="D58" i="9"/>
  <c r="D59" i="9"/>
  <c r="D60" i="9"/>
  <c r="D61" i="9"/>
  <c r="D62" i="9"/>
  <c r="D63" i="9"/>
  <c r="D64" i="9"/>
  <c r="D65" i="9"/>
  <c r="D66" i="9"/>
  <c r="D67" i="9"/>
  <c r="D68" i="9"/>
  <c r="D69" i="9"/>
  <c r="D70" i="9"/>
  <c r="D71" i="9"/>
  <c r="D72" i="9"/>
  <c r="D73" i="9"/>
  <c r="D74" i="9"/>
  <c r="D75" i="9"/>
  <c r="D76" i="9"/>
  <c r="D77" i="9"/>
  <c r="D78" i="9"/>
  <c r="D79" i="9"/>
  <c r="D80" i="9"/>
  <c r="D81" i="9"/>
  <c r="D82" i="9"/>
  <c r="D83" i="9"/>
  <c r="D84" i="9"/>
  <c r="D85" i="9"/>
  <c r="D86" i="9"/>
  <c r="D87" i="9"/>
  <c r="D88" i="9"/>
  <c r="D89" i="9"/>
  <c r="D90" i="9"/>
  <c r="D91" i="9"/>
  <c r="D92" i="9"/>
  <c r="D93" i="9"/>
  <c r="D94" i="9"/>
  <c r="D95" i="9"/>
  <c r="D96" i="9"/>
  <c r="D97" i="9"/>
  <c r="D35" i="9"/>
  <c r="E35" i="9" s="1"/>
  <c r="O35" i="9" s="1"/>
  <c r="E10" i="9"/>
  <c r="O10" i="9" s="1"/>
  <c r="H10" i="9"/>
  <c r="T10" i="9"/>
  <c r="B11" i="9"/>
  <c r="E11" i="9"/>
  <c r="O11" i="9" s="1"/>
  <c r="H11" i="9"/>
  <c r="U11" i="9"/>
  <c r="U12" i="9" s="1"/>
  <c r="U13" i="9" s="1"/>
  <c r="U14" i="9" s="1"/>
  <c r="U15" i="9" s="1"/>
  <c r="U16" i="9" s="1"/>
  <c r="U17" i="9" s="1"/>
  <c r="U18" i="9" s="1"/>
  <c r="U19" i="9" s="1"/>
  <c r="U20" i="9" s="1"/>
  <c r="U21" i="9" s="1"/>
  <c r="U22" i="9" s="1"/>
  <c r="U23" i="9" s="1"/>
  <c r="U24" i="9" s="1"/>
  <c r="U25" i="9" s="1"/>
  <c r="U26" i="9" s="1"/>
  <c r="U27" i="9" s="1"/>
  <c r="U28" i="9" s="1"/>
  <c r="U29" i="9" s="1"/>
  <c r="U30" i="9" s="1"/>
  <c r="U31" i="9" s="1"/>
  <c r="U32" i="9" s="1"/>
  <c r="U33" i="9" s="1"/>
  <c r="U34" i="9" s="1"/>
  <c r="U35" i="9" s="1"/>
  <c r="U36" i="9" s="1"/>
  <c r="U37" i="9" s="1"/>
  <c r="U38" i="9" s="1"/>
  <c r="U39" i="9" s="1"/>
  <c r="U40" i="9" s="1"/>
  <c r="U41" i="9" s="1"/>
  <c r="U42" i="9" s="1"/>
  <c r="U43" i="9" s="1"/>
  <c r="U44" i="9" s="1"/>
  <c r="U45" i="9" s="1"/>
  <c r="U46" i="9" s="1"/>
  <c r="U47" i="9" s="1"/>
  <c r="U48" i="9" s="1"/>
  <c r="U49" i="9" s="1"/>
  <c r="U50" i="9" s="1"/>
  <c r="U51" i="9" s="1"/>
  <c r="U52" i="9" s="1"/>
  <c r="U53" i="9" s="1"/>
  <c r="U54" i="9" s="1"/>
  <c r="U55" i="9" s="1"/>
  <c r="U56" i="9" s="1"/>
  <c r="U57" i="9" s="1"/>
  <c r="U58" i="9" s="1"/>
  <c r="U59" i="9" s="1"/>
  <c r="U60" i="9" s="1"/>
  <c r="U61" i="9" s="1"/>
  <c r="U62" i="9" s="1"/>
  <c r="U63" i="9" s="1"/>
  <c r="U64" i="9" s="1"/>
  <c r="U65" i="9" s="1"/>
  <c r="U66" i="9" s="1"/>
  <c r="U67" i="9" s="1"/>
  <c r="U68" i="9" s="1"/>
  <c r="U69" i="9" s="1"/>
  <c r="U70" i="9" s="1"/>
  <c r="U71" i="9" s="1"/>
  <c r="U72" i="9" s="1"/>
  <c r="U73" i="9" s="1"/>
  <c r="U74" i="9" s="1"/>
  <c r="U75" i="9" s="1"/>
  <c r="U76" i="9" s="1"/>
  <c r="U77" i="9" s="1"/>
  <c r="U78" i="9" s="1"/>
  <c r="U79" i="9" s="1"/>
  <c r="U80" i="9" s="1"/>
  <c r="U81" i="9" s="1"/>
  <c r="U82" i="9" s="1"/>
  <c r="U83" i="9" s="1"/>
  <c r="U84" i="9" s="1"/>
  <c r="U85" i="9" s="1"/>
  <c r="U86" i="9" s="1"/>
  <c r="U87" i="9" s="1"/>
  <c r="U88" i="9" s="1"/>
  <c r="U89" i="9" s="1"/>
  <c r="U90" i="9" s="1"/>
  <c r="U91" i="9" s="1"/>
  <c r="U92" i="9" s="1"/>
  <c r="U93" i="9" s="1"/>
  <c r="U94" i="9" s="1"/>
  <c r="U95" i="9" s="1"/>
  <c r="U96" i="9" s="1"/>
  <c r="U97" i="9" s="1"/>
  <c r="E12" i="9"/>
  <c r="P12" i="9" s="1"/>
  <c r="H12" i="9"/>
  <c r="E13" i="9"/>
  <c r="H13" i="9"/>
  <c r="E14" i="9"/>
  <c r="O14" i="9" s="1"/>
  <c r="H14" i="9"/>
  <c r="E15" i="9"/>
  <c r="P15" i="9" s="1"/>
  <c r="H15" i="9"/>
  <c r="E16" i="9"/>
  <c r="P16" i="9" s="1"/>
  <c r="H16" i="9"/>
  <c r="E17" i="9"/>
  <c r="P17" i="9" s="1"/>
  <c r="H17" i="9"/>
  <c r="E18" i="9"/>
  <c r="O18" i="9" s="1"/>
  <c r="H18" i="9"/>
  <c r="P18" i="9"/>
  <c r="E19" i="9"/>
  <c r="O19" i="9" s="1"/>
  <c r="H19" i="9"/>
  <c r="P19" i="9"/>
  <c r="E20" i="9"/>
  <c r="O20" i="9" s="1"/>
  <c r="H20" i="9"/>
  <c r="P20" i="9"/>
  <c r="Z20" i="9"/>
  <c r="E21" i="9"/>
  <c r="O21" i="9" s="1"/>
  <c r="H21" i="9"/>
  <c r="P21" i="9"/>
  <c r="Z21" i="9"/>
  <c r="E22" i="9"/>
  <c r="O22" i="9" s="1"/>
  <c r="H22" i="9"/>
  <c r="P22" i="9"/>
  <c r="Z22" i="9"/>
  <c r="E23" i="9"/>
  <c r="O23" i="9" s="1"/>
  <c r="H23" i="9"/>
  <c r="P23" i="9"/>
  <c r="Z23" i="9"/>
  <c r="E24" i="9"/>
  <c r="O24" i="9" s="1"/>
  <c r="H24" i="9"/>
  <c r="P24" i="9"/>
  <c r="Z24" i="9"/>
  <c r="E25" i="9"/>
  <c r="O25" i="9" s="1"/>
  <c r="H25" i="9"/>
  <c r="P25" i="9"/>
  <c r="E26" i="9"/>
  <c r="O26" i="9" s="1"/>
  <c r="H26" i="9"/>
  <c r="P26" i="9"/>
  <c r="E27" i="9"/>
  <c r="O27" i="9" s="1"/>
  <c r="H27" i="9"/>
  <c r="P27" i="9"/>
  <c r="E28" i="9"/>
  <c r="O28" i="9" s="1"/>
  <c r="H28" i="9"/>
  <c r="P28" i="9"/>
  <c r="E29" i="9"/>
  <c r="O29" i="9" s="1"/>
  <c r="H29" i="9"/>
  <c r="P29" i="9"/>
  <c r="E30" i="9"/>
  <c r="O30" i="9" s="1"/>
  <c r="H30" i="9"/>
  <c r="P30" i="9"/>
  <c r="E31" i="9"/>
  <c r="O31" i="9" s="1"/>
  <c r="H31" i="9"/>
  <c r="P31" i="9"/>
  <c r="E32" i="9"/>
  <c r="O32" i="9" s="1"/>
  <c r="H32" i="9"/>
  <c r="P32" i="9"/>
  <c r="E33" i="9"/>
  <c r="O33" i="9" s="1"/>
  <c r="H33" i="9"/>
  <c r="P33" i="9"/>
  <c r="E34" i="9"/>
  <c r="O34" i="9" s="1"/>
  <c r="H34" i="9"/>
  <c r="P34" i="9"/>
  <c r="H35" i="9"/>
  <c r="P35" i="9"/>
  <c r="H36" i="9"/>
  <c r="O36" i="9"/>
  <c r="P36" i="9"/>
  <c r="E37" i="9"/>
  <c r="H37" i="9"/>
  <c r="O37" i="9"/>
  <c r="P37" i="9"/>
  <c r="H38" i="9"/>
  <c r="O38" i="9"/>
  <c r="P38" i="9"/>
  <c r="E39" i="9"/>
  <c r="H39" i="9"/>
  <c r="O39" i="9"/>
  <c r="P39" i="9"/>
  <c r="H40" i="9"/>
  <c r="O40" i="9"/>
  <c r="P40" i="9"/>
  <c r="E41" i="9"/>
  <c r="H41" i="9"/>
  <c r="O41" i="9"/>
  <c r="P41" i="9"/>
  <c r="H42" i="9"/>
  <c r="O42" i="9"/>
  <c r="P42" i="9"/>
  <c r="E43" i="9"/>
  <c r="H43" i="9"/>
  <c r="O43" i="9"/>
  <c r="P43" i="9"/>
  <c r="H44" i="9"/>
  <c r="O44" i="9"/>
  <c r="P44" i="9"/>
  <c r="E45" i="9"/>
  <c r="H45" i="9"/>
  <c r="O45" i="9"/>
  <c r="P45" i="9"/>
  <c r="E46" i="9"/>
  <c r="H46" i="9"/>
  <c r="O46" i="9"/>
  <c r="P46" i="9"/>
  <c r="E47" i="9"/>
  <c r="H47" i="9"/>
  <c r="O47" i="9"/>
  <c r="P47" i="9"/>
  <c r="E48" i="9"/>
  <c r="H48" i="9"/>
  <c r="O48" i="9"/>
  <c r="P48" i="9"/>
  <c r="E49" i="9"/>
  <c r="H49" i="9"/>
  <c r="O49" i="9"/>
  <c r="P49" i="9"/>
  <c r="E50" i="9"/>
  <c r="H50" i="9"/>
  <c r="O50" i="9"/>
  <c r="P50" i="9"/>
  <c r="E51" i="9"/>
  <c r="H51" i="9"/>
  <c r="O51" i="9"/>
  <c r="P51" i="9"/>
  <c r="E52" i="9"/>
  <c r="H52" i="9"/>
  <c r="O52" i="9"/>
  <c r="P52" i="9"/>
  <c r="E53" i="9"/>
  <c r="H53" i="9"/>
  <c r="O53" i="9"/>
  <c r="P53" i="9"/>
  <c r="E54" i="9"/>
  <c r="H54" i="9"/>
  <c r="O54" i="9"/>
  <c r="P54" i="9"/>
  <c r="E55" i="9"/>
  <c r="H55" i="9"/>
  <c r="O55" i="9"/>
  <c r="P55" i="9"/>
  <c r="E56" i="9"/>
  <c r="H56" i="9"/>
  <c r="O56" i="9"/>
  <c r="P56" i="9"/>
  <c r="E57" i="9"/>
  <c r="H57" i="9"/>
  <c r="O57" i="9"/>
  <c r="P57" i="9"/>
  <c r="E58" i="9"/>
  <c r="H58" i="9"/>
  <c r="O58" i="9"/>
  <c r="P58" i="9"/>
  <c r="E59" i="9"/>
  <c r="H59" i="9"/>
  <c r="O59" i="9"/>
  <c r="P59" i="9"/>
  <c r="E60" i="9"/>
  <c r="H60" i="9"/>
  <c r="O60" i="9"/>
  <c r="P60" i="9"/>
  <c r="E61" i="9"/>
  <c r="H61" i="9"/>
  <c r="O61" i="9"/>
  <c r="P61" i="9"/>
  <c r="E62" i="9"/>
  <c r="H62" i="9"/>
  <c r="O62" i="9"/>
  <c r="P62" i="9"/>
  <c r="E63" i="9"/>
  <c r="H63" i="9"/>
  <c r="O63" i="9"/>
  <c r="P63" i="9"/>
  <c r="E64" i="9"/>
  <c r="H64" i="9"/>
  <c r="O64" i="9"/>
  <c r="P64" i="9"/>
  <c r="E65" i="9"/>
  <c r="H65" i="9"/>
  <c r="O65" i="9"/>
  <c r="P65" i="9"/>
  <c r="E66" i="9"/>
  <c r="H66" i="9"/>
  <c r="O66" i="9"/>
  <c r="P66" i="9"/>
  <c r="E67" i="9"/>
  <c r="H67" i="9"/>
  <c r="O67" i="9"/>
  <c r="P67" i="9"/>
  <c r="E68" i="9"/>
  <c r="H68" i="9"/>
  <c r="O68" i="9"/>
  <c r="P68" i="9"/>
  <c r="E69" i="9"/>
  <c r="H69" i="9"/>
  <c r="O69" i="9"/>
  <c r="P69" i="9"/>
  <c r="E70" i="9"/>
  <c r="H70" i="9"/>
  <c r="O70" i="9"/>
  <c r="P70" i="9"/>
  <c r="E71" i="9"/>
  <c r="H71" i="9"/>
  <c r="O71" i="9"/>
  <c r="P71" i="9"/>
  <c r="E72" i="9"/>
  <c r="H72" i="9"/>
  <c r="O72" i="9"/>
  <c r="P72" i="9"/>
  <c r="E73" i="9"/>
  <c r="H73" i="9"/>
  <c r="O73" i="9"/>
  <c r="P73" i="9"/>
  <c r="E74" i="9"/>
  <c r="H74" i="9"/>
  <c r="O74" i="9"/>
  <c r="P74" i="9"/>
  <c r="E75" i="9"/>
  <c r="H75" i="9"/>
  <c r="O75" i="9"/>
  <c r="P75" i="9"/>
  <c r="E76" i="9"/>
  <c r="H76" i="9"/>
  <c r="O76" i="9"/>
  <c r="P76" i="9"/>
  <c r="E77" i="9"/>
  <c r="H77" i="9"/>
  <c r="O77" i="9"/>
  <c r="P77" i="9"/>
  <c r="E78" i="9"/>
  <c r="H78" i="9"/>
  <c r="O78" i="9"/>
  <c r="P78" i="9"/>
  <c r="E79" i="9"/>
  <c r="H79" i="9"/>
  <c r="O79" i="9"/>
  <c r="P79" i="9"/>
  <c r="E80" i="9"/>
  <c r="H80" i="9"/>
  <c r="O80" i="9"/>
  <c r="P80" i="9"/>
  <c r="E81" i="9"/>
  <c r="H81" i="9"/>
  <c r="O81" i="9"/>
  <c r="P81" i="9"/>
  <c r="E82" i="9"/>
  <c r="H82" i="9"/>
  <c r="O82" i="9"/>
  <c r="P82" i="9"/>
  <c r="E83" i="9"/>
  <c r="H83" i="9"/>
  <c r="O83" i="9"/>
  <c r="P83" i="9"/>
  <c r="E84" i="9"/>
  <c r="H84" i="9"/>
  <c r="O84" i="9"/>
  <c r="P84" i="9"/>
  <c r="E85" i="9"/>
  <c r="H85" i="9"/>
  <c r="O85" i="9"/>
  <c r="P85" i="9"/>
  <c r="E86" i="9"/>
  <c r="H86" i="9"/>
  <c r="O86" i="9"/>
  <c r="P86" i="9"/>
  <c r="E87" i="9"/>
  <c r="H87" i="9"/>
  <c r="O87" i="9"/>
  <c r="P87" i="9"/>
  <c r="E88" i="9"/>
  <c r="H88" i="9"/>
  <c r="O88" i="9"/>
  <c r="P88" i="9"/>
  <c r="E89" i="9"/>
  <c r="H89" i="9"/>
  <c r="O89" i="9"/>
  <c r="P89" i="9"/>
  <c r="E90" i="9"/>
  <c r="H90" i="9"/>
  <c r="O90" i="9"/>
  <c r="P90" i="9"/>
  <c r="E91" i="9"/>
  <c r="H91" i="9"/>
  <c r="O91" i="9"/>
  <c r="P91" i="9"/>
  <c r="E92" i="9"/>
  <c r="H92" i="9"/>
  <c r="O92" i="9"/>
  <c r="P92" i="9"/>
  <c r="E93" i="9"/>
  <c r="H93" i="9"/>
  <c r="O93" i="9"/>
  <c r="P93" i="9"/>
  <c r="E94" i="9"/>
  <c r="H94" i="9"/>
  <c r="O94" i="9"/>
  <c r="P94" i="9"/>
  <c r="E95" i="9"/>
  <c r="H95" i="9"/>
  <c r="O95" i="9"/>
  <c r="P95" i="9"/>
  <c r="E96" i="9"/>
  <c r="H96" i="9"/>
  <c r="O96" i="9"/>
  <c r="P96" i="9"/>
  <c r="E97" i="9"/>
  <c r="H97" i="9"/>
  <c r="O97" i="9"/>
  <c r="P97" i="9"/>
  <c r="P11" i="9"/>
  <c r="O13" i="9" l="1"/>
  <c r="P13" i="9"/>
  <c r="O17" i="9"/>
  <c r="T11" i="9"/>
  <c r="B12" i="9"/>
  <c r="T12" i="9" s="1"/>
  <c r="K12" i="9" s="1"/>
  <c r="O12" i="9"/>
  <c r="P14" i="9"/>
  <c r="K10" i="9"/>
  <c r="M10" i="9" s="1"/>
  <c r="O16" i="9"/>
  <c r="K11" i="9"/>
  <c r="M11" i="9" s="1"/>
  <c r="P10" i="9"/>
  <c r="O15" i="9"/>
  <c r="B13" i="9"/>
  <c r="N10" i="9" l="1"/>
  <c r="L11" i="9"/>
  <c r="W11" i="9" s="1"/>
  <c r="S11" i="9"/>
  <c r="S10" i="9"/>
  <c r="N11" i="9"/>
  <c r="Q11" i="9" s="1"/>
  <c r="R11" i="9" s="1"/>
  <c r="L10" i="9"/>
  <c r="W10" i="9" s="1"/>
  <c r="Q10" i="9"/>
  <c r="R10" i="9" s="1"/>
  <c r="L12" i="9"/>
  <c r="N12" i="9"/>
  <c r="Q12" i="9" s="1"/>
  <c r="R12" i="9" s="1"/>
  <c r="S12" i="9"/>
  <c r="M12" i="9"/>
  <c r="B14" i="9"/>
  <c r="T13" i="9"/>
  <c r="K13" i="9" s="1"/>
  <c r="T14" i="9" l="1"/>
  <c r="K14" i="9" s="1"/>
  <c r="B15" i="9"/>
  <c r="W12" i="9"/>
  <c r="M13" i="9"/>
  <c r="L13" i="9"/>
  <c r="S13" i="9"/>
  <c r="N13" i="9"/>
  <c r="Q13" i="9" s="1"/>
  <c r="R13" i="9" s="1"/>
  <c r="W13" i="9" l="1"/>
  <c r="T15" i="9"/>
  <c r="K15" i="9" s="1"/>
  <c r="B16" i="9"/>
  <c r="S14" i="9"/>
  <c r="L14" i="9"/>
  <c r="M14" i="9"/>
  <c r="N14" i="9"/>
  <c r="Q14" i="9" s="1"/>
  <c r="R14" i="9" s="1"/>
  <c r="M15" i="9" l="1"/>
  <c r="S15" i="9"/>
  <c r="N15" i="9"/>
  <c r="Q15" i="9" s="1"/>
  <c r="R15" i="9" s="1"/>
  <c r="L15" i="9"/>
  <c r="W14" i="9"/>
  <c r="T16" i="9"/>
  <c r="K16" i="9" s="1"/>
  <c r="B17" i="9"/>
  <c r="S16" i="9" l="1"/>
  <c r="L16" i="9"/>
  <c r="N16" i="9"/>
  <c r="Q16" i="9" s="1"/>
  <c r="R16" i="9" s="1"/>
  <c r="M16" i="9"/>
  <c r="B18" i="9"/>
  <c r="T17" i="9"/>
  <c r="K17" i="9" s="1"/>
  <c r="W15" i="9"/>
  <c r="S17" i="9" l="1"/>
  <c r="N17" i="9"/>
  <c r="Q17" i="9" s="1"/>
  <c r="R17" i="9" s="1"/>
  <c r="M17" i="9"/>
  <c r="L17" i="9"/>
  <c r="W16" i="9"/>
  <c r="T18" i="9"/>
  <c r="K18" i="9" s="1"/>
  <c r="B19" i="9"/>
  <c r="L18" i="9" l="1"/>
  <c r="M18" i="9"/>
  <c r="S18" i="9"/>
  <c r="N18" i="9"/>
  <c r="Q18" i="9" s="1"/>
  <c r="R18" i="9" s="1"/>
  <c r="T19" i="9"/>
  <c r="K19" i="9" s="1"/>
  <c r="B20" i="9"/>
  <c r="W17" i="9"/>
  <c r="L19" i="9" l="1"/>
  <c r="M19" i="9"/>
  <c r="S19" i="9"/>
  <c r="N19" i="9"/>
  <c r="Q19" i="9" s="1"/>
  <c r="R19" i="9" s="1"/>
  <c r="W18" i="9"/>
  <c r="T20" i="9"/>
  <c r="K20" i="9" s="1"/>
  <c r="B21" i="9"/>
  <c r="B22" i="9" l="1"/>
  <c r="T21" i="9"/>
  <c r="K21" i="9" s="1"/>
  <c r="W19" i="9"/>
  <c r="M20" i="9"/>
  <c r="S20" i="9"/>
  <c r="L20" i="9"/>
  <c r="N20" i="9"/>
  <c r="Q20" i="9" s="1"/>
  <c r="R20" i="9" s="1"/>
  <c r="W20" i="9" l="1"/>
  <c r="S21" i="9"/>
  <c r="L21" i="9"/>
  <c r="N21" i="9"/>
  <c r="Q21" i="9" s="1"/>
  <c r="R21" i="9" s="1"/>
  <c r="M21" i="9"/>
  <c r="T22" i="9"/>
  <c r="K22" i="9" s="1"/>
  <c r="B23" i="9"/>
  <c r="W21" i="9" l="1"/>
  <c r="S22" i="9"/>
  <c r="L22" i="9"/>
  <c r="W22" i="9" s="1"/>
  <c r="N22" i="9"/>
  <c r="Q22" i="9" s="1"/>
  <c r="R22" i="9" s="1"/>
  <c r="M22" i="9"/>
  <c r="T23" i="9"/>
  <c r="K23" i="9" s="1"/>
  <c r="B24" i="9"/>
  <c r="T24" i="9" l="1"/>
  <c r="K24" i="9" s="1"/>
  <c r="B25" i="9"/>
  <c r="S23" i="9"/>
  <c r="M23" i="9"/>
  <c r="L23" i="9"/>
  <c r="W23" i="9" s="1"/>
  <c r="N23" i="9"/>
  <c r="Q23" i="9" s="1"/>
  <c r="R23" i="9" s="1"/>
  <c r="S24" i="9" l="1"/>
  <c r="N24" i="9"/>
  <c r="Q24" i="9" s="1"/>
  <c r="R24" i="9" s="1"/>
  <c r="M24" i="9"/>
  <c r="L24" i="9"/>
  <c r="W24" i="9" s="1"/>
  <c r="B26" i="9"/>
  <c r="T25" i="9"/>
  <c r="K25" i="9" s="1"/>
  <c r="T26" i="9" l="1"/>
  <c r="K26" i="9" s="1"/>
  <c r="B27" i="9"/>
  <c r="N25" i="9"/>
  <c r="Q25" i="9" s="1"/>
  <c r="R25" i="9" s="1"/>
  <c r="M25" i="9"/>
  <c r="L25" i="9"/>
  <c r="W25" i="9" s="1"/>
  <c r="S25" i="9"/>
  <c r="B28" i="9" l="1"/>
  <c r="T27" i="9"/>
  <c r="K27" i="9" s="1"/>
  <c r="S26" i="9"/>
  <c r="L26" i="9"/>
  <c r="W26" i="9" s="1"/>
  <c r="N26" i="9"/>
  <c r="Q26" i="9" s="1"/>
  <c r="R26" i="9" s="1"/>
  <c r="M26" i="9"/>
  <c r="B29" i="9" l="1"/>
  <c r="T28" i="9"/>
  <c r="K28" i="9" s="1"/>
  <c r="L27" i="9"/>
  <c r="W27" i="9" s="1"/>
  <c r="S27" i="9"/>
  <c r="N27" i="9"/>
  <c r="Q27" i="9" s="1"/>
  <c r="R27" i="9" s="1"/>
  <c r="M27" i="9"/>
  <c r="L28" i="9" l="1"/>
  <c r="W28" i="9" s="1"/>
  <c r="N28" i="9"/>
  <c r="Q28" i="9" s="1"/>
  <c r="R28" i="9" s="1"/>
  <c r="S28" i="9"/>
  <c r="M28" i="9"/>
  <c r="B30" i="9"/>
  <c r="T29" i="9"/>
  <c r="K29" i="9" s="1"/>
  <c r="T30" i="9" l="1"/>
  <c r="K30" i="9" s="1"/>
  <c r="B31" i="9"/>
  <c r="N29" i="9"/>
  <c r="Q29" i="9" s="1"/>
  <c r="R29" i="9" s="1"/>
  <c r="L29" i="9"/>
  <c r="S29" i="9"/>
  <c r="M29" i="9"/>
  <c r="W29" i="9" l="1"/>
  <c r="L98" i="9"/>
  <c r="S30" i="9"/>
  <c r="M30" i="9"/>
  <c r="L30" i="9"/>
  <c r="W30" i="9" s="1"/>
  <c r="N30" i="9"/>
  <c r="Q30" i="9" s="1"/>
  <c r="R30" i="9" s="1"/>
  <c r="T31" i="9"/>
  <c r="K31" i="9" s="1"/>
  <c r="B32" i="9"/>
  <c r="L31" i="9" l="1"/>
  <c r="W31" i="9" s="1"/>
  <c r="N31" i="9"/>
  <c r="Q31" i="9" s="1"/>
  <c r="R31" i="9" s="1"/>
  <c r="M31" i="9"/>
  <c r="S31" i="9"/>
  <c r="T32" i="9"/>
  <c r="K32" i="9" s="1"/>
  <c r="B33" i="9"/>
  <c r="M32" i="9" l="1"/>
  <c r="N32" i="9"/>
  <c r="Q32" i="9" s="1"/>
  <c r="R32" i="9" s="1"/>
  <c r="L32" i="9"/>
  <c r="W32" i="9" s="1"/>
  <c r="S32" i="9"/>
  <c r="T33" i="9"/>
  <c r="K33" i="9" s="1"/>
  <c r="B34" i="9"/>
  <c r="S33" i="9" l="1"/>
  <c r="M33" i="9"/>
  <c r="N33" i="9"/>
  <c r="Q33" i="9" s="1"/>
  <c r="R33" i="9" s="1"/>
  <c r="L33" i="9"/>
  <c r="W33" i="9" s="1"/>
  <c r="T34" i="9"/>
  <c r="K34" i="9" s="1"/>
  <c r="B35" i="9"/>
  <c r="T35" i="9" l="1"/>
  <c r="K35" i="9" s="1"/>
  <c r="B36" i="9"/>
  <c r="N34" i="9"/>
  <c r="Q34" i="9" s="1"/>
  <c r="R34" i="9" s="1"/>
  <c r="S34" i="9"/>
  <c r="M34" i="9"/>
  <c r="L34" i="9"/>
  <c r="W34" i="9" s="1"/>
  <c r="M35" i="9" l="1"/>
  <c r="S35" i="9"/>
  <c r="N35" i="9"/>
  <c r="Q35" i="9" s="1"/>
  <c r="R35" i="9" s="1"/>
  <c r="L35" i="9"/>
  <c r="W35" i="9" s="1"/>
  <c r="T36" i="9"/>
  <c r="K36" i="9" s="1"/>
  <c r="B37" i="9"/>
  <c r="T37" i="9" l="1"/>
  <c r="K37" i="9" s="1"/>
  <c r="B38" i="9"/>
  <c r="L36" i="9"/>
  <c r="W36" i="9" s="1"/>
  <c r="N36" i="9"/>
  <c r="Q36" i="9" s="1"/>
  <c r="R36" i="9" s="1"/>
  <c r="S36" i="9"/>
  <c r="M36" i="9"/>
  <c r="S37" i="9" l="1"/>
  <c r="N37" i="9"/>
  <c r="Q37" i="9" s="1"/>
  <c r="R37" i="9" s="1"/>
  <c r="L37" i="9"/>
  <c r="W37" i="9" s="1"/>
  <c r="M37" i="9"/>
  <c r="T38" i="9"/>
  <c r="K38" i="9" s="1"/>
  <c r="B39" i="9"/>
  <c r="T39" i="9" l="1"/>
  <c r="K39" i="9" s="1"/>
  <c r="B40" i="9"/>
  <c r="S38" i="9"/>
  <c r="M38" i="9"/>
  <c r="N38" i="9"/>
  <c r="Q38" i="9" s="1"/>
  <c r="R38" i="9" s="1"/>
  <c r="L38" i="9"/>
  <c r="W38" i="9" s="1"/>
  <c r="N39" i="9" l="1"/>
  <c r="Q39" i="9" s="1"/>
  <c r="R39" i="9" s="1"/>
  <c r="S39" i="9"/>
  <c r="M39" i="9"/>
  <c r="L39" i="9"/>
  <c r="W39" i="9" s="1"/>
  <c r="T40" i="9"/>
  <c r="K40" i="9" s="1"/>
  <c r="B41" i="9"/>
  <c r="N40" i="9" l="1"/>
  <c r="Q40" i="9" s="1"/>
  <c r="R40" i="9" s="1"/>
  <c r="M40" i="9"/>
  <c r="S40" i="9"/>
  <c r="L40" i="9"/>
  <c r="W40" i="9" s="1"/>
  <c r="T41" i="9"/>
  <c r="K41" i="9" s="1"/>
  <c r="B42" i="9"/>
  <c r="L41" i="9" l="1"/>
  <c r="W41" i="9" s="1"/>
  <c r="N41" i="9"/>
  <c r="Q41" i="9" s="1"/>
  <c r="R41" i="9" s="1"/>
  <c r="S41" i="9"/>
  <c r="M41" i="9"/>
  <c r="T42" i="9"/>
  <c r="K42" i="9" s="1"/>
  <c r="B43" i="9"/>
  <c r="N42" i="9" l="1"/>
  <c r="Q42" i="9" s="1"/>
  <c r="R42" i="9" s="1"/>
  <c r="S42" i="9"/>
  <c r="M42" i="9"/>
  <c r="L42" i="9"/>
  <c r="W42" i="9" s="1"/>
  <c r="T43" i="9"/>
  <c r="K43" i="9" s="1"/>
  <c r="B44" i="9"/>
  <c r="T44" i="9" l="1"/>
  <c r="K44" i="9" s="1"/>
  <c r="B45" i="9"/>
  <c r="M43" i="9"/>
  <c r="N43" i="9"/>
  <c r="Q43" i="9" s="1"/>
  <c r="R43" i="9" s="1"/>
  <c r="L43" i="9"/>
  <c r="W43" i="9" s="1"/>
  <c r="S43" i="9"/>
  <c r="B46" i="9" l="1"/>
  <c r="T45" i="9"/>
  <c r="K45" i="9" s="1"/>
  <c r="M44" i="9"/>
  <c r="N44" i="9"/>
  <c r="Q44" i="9" s="1"/>
  <c r="R44" i="9" s="1"/>
  <c r="S44" i="9"/>
  <c r="L44" i="9"/>
  <c r="W44" i="9" s="1"/>
  <c r="T46" i="9" l="1"/>
  <c r="K46" i="9" s="1"/>
  <c r="B47" i="9"/>
  <c r="S45" i="9"/>
  <c r="M45" i="9"/>
  <c r="N45" i="9"/>
  <c r="Q45" i="9" s="1"/>
  <c r="R45" i="9" s="1"/>
  <c r="L45" i="9"/>
  <c r="W45" i="9" s="1"/>
  <c r="S46" i="9" l="1"/>
  <c r="L46" i="9"/>
  <c r="W46" i="9" s="1"/>
  <c r="M46" i="9"/>
  <c r="N46" i="9"/>
  <c r="Q46" i="9" s="1"/>
  <c r="R46" i="9" s="1"/>
  <c r="T47" i="9"/>
  <c r="K47" i="9" s="1"/>
  <c r="B48" i="9"/>
  <c r="S47" i="9" l="1"/>
  <c r="M47" i="9"/>
  <c r="L47" i="9"/>
  <c r="W47" i="9" s="1"/>
  <c r="N47" i="9"/>
  <c r="Q47" i="9" s="1"/>
  <c r="R47" i="9" s="1"/>
  <c r="T48" i="9"/>
  <c r="K48" i="9" s="1"/>
  <c r="B49" i="9"/>
  <c r="T49" i="9" l="1"/>
  <c r="K49" i="9" s="1"/>
  <c r="B50" i="9"/>
  <c r="N48" i="9"/>
  <c r="Q48" i="9" s="1"/>
  <c r="R48" i="9" s="1"/>
  <c r="S48" i="9"/>
  <c r="L48" i="9"/>
  <c r="W48" i="9" s="1"/>
  <c r="M48" i="9"/>
  <c r="N49" i="9" l="1"/>
  <c r="Q49" i="9" s="1"/>
  <c r="R49" i="9" s="1"/>
  <c r="L49" i="9"/>
  <c r="W49" i="9" s="1"/>
  <c r="Z12" i="9" s="1"/>
  <c r="M49" i="9"/>
  <c r="S49" i="9"/>
  <c r="T50" i="9"/>
  <c r="K50" i="9" s="1"/>
  <c r="B51" i="9"/>
  <c r="L50" i="9" l="1"/>
  <c r="W50" i="9" s="1"/>
  <c r="M50" i="9"/>
  <c r="N50" i="9"/>
  <c r="Q50" i="9" s="1"/>
  <c r="R50" i="9" s="1"/>
  <c r="S50" i="9"/>
  <c r="T51" i="9"/>
  <c r="K51" i="9" s="1"/>
  <c r="B52" i="9"/>
  <c r="T52" i="9" l="1"/>
  <c r="K52" i="9" s="1"/>
  <c r="B53" i="9"/>
  <c r="M51" i="9"/>
  <c r="S51" i="9"/>
  <c r="N51" i="9"/>
  <c r="Q51" i="9" s="1"/>
  <c r="R51" i="9" s="1"/>
  <c r="L51" i="9"/>
  <c r="W51" i="9" s="1"/>
  <c r="L52" i="9" l="1"/>
  <c r="W52" i="9" s="1"/>
  <c r="S52" i="9"/>
  <c r="N52" i="9"/>
  <c r="Q52" i="9" s="1"/>
  <c r="R52" i="9" s="1"/>
  <c r="M52" i="9"/>
  <c r="T53" i="9"/>
  <c r="K53" i="9" s="1"/>
  <c r="B54" i="9"/>
  <c r="T54" i="9" l="1"/>
  <c r="K54" i="9" s="1"/>
  <c r="B55" i="9"/>
  <c r="N53" i="9"/>
  <c r="Q53" i="9" s="1"/>
  <c r="R53" i="9" s="1"/>
  <c r="L53" i="9"/>
  <c r="W53" i="9" s="1"/>
  <c r="S53" i="9"/>
  <c r="M53" i="9"/>
  <c r="L54" i="9" l="1"/>
  <c r="W54" i="9" s="1"/>
  <c r="Z13" i="9" s="1"/>
  <c r="M54" i="9"/>
  <c r="S54" i="9"/>
  <c r="N54" i="9"/>
  <c r="Q54" i="9" s="1"/>
  <c r="R54" i="9" s="1"/>
  <c r="T55" i="9"/>
  <c r="K55" i="9" s="1"/>
  <c r="B56" i="9"/>
  <c r="L55" i="9" l="1"/>
  <c r="W55" i="9" s="1"/>
  <c r="M55" i="9"/>
  <c r="S55" i="9"/>
  <c r="N55" i="9"/>
  <c r="Q55" i="9" s="1"/>
  <c r="R55" i="9" s="1"/>
  <c r="T56" i="9"/>
  <c r="K56" i="9" s="1"/>
  <c r="B57" i="9"/>
  <c r="T57" i="9" l="1"/>
  <c r="K57" i="9" s="1"/>
  <c r="B58" i="9"/>
  <c r="S56" i="9"/>
  <c r="N56" i="9"/>
  <c r="Q56" i="9" s="1"/>
  <c r="R56" i="9" s="1"/>
  <c r="L56" i="9"/>
  <c r="W56" i="9" s="1"/>
  <c r="M56" i="9"/>
  <c r="N57" i="9" l="1"/>
  <c r="Q57" i="9" s="1"/>
  <c r="R57" i="9" s="1"/>
  <c r="M57" i="9"/>
  <c r="L57" i="9"/>
  <c r="W57" i="9" s="1"/>
  <c r="S57" i="9"/>
  <c r="T58" i="9"/>
  <c r="K58" i="9" s="1"/>
  <c r="B59" i="9"/>
  <c r="T59" i="9" l="1"/>
  <c r="K59" i="9" s="1"/>
  <c r="B60" i="9"/>
  <c r="L58" i="9"/>
  <c r="W58" i="9" s="1"/>
  <c r="N58" i="9"/>
  <c r="Q58" i="9" s="1"/>
  <c r="R58" i="9" s="1"/>
  <c r="M58" i="9"/>
  <c r="S58" i="9"/>
  <c r="T60" i="9" l="1"/>
  <c r="K60" i="9" s="1"/>
  <c r="B61" i="9"/>
  <c r="L59" i="9"/>
  <c r="W59" i="9" s="1"/>
  <c r="N59" i="9"/>
  <c r="Q59" i="9" s="1"/>
  <c r="R59" i="9" s="1"/>
  <c r="S59" i="9"/>
  <c r="M59" i="9"/>
  <c r="N60" i="9" l="1"/>
  <c r="Q60" i="9" s="1"/>
  <c r="R60" i="9" s="1"/>
  <c r="L60" i="9"/>
  <c r="W60" i="9" s="1"/>
  <c r="S60" i="9"/>
  <c r="M60" i="9"/>
  <c r="T61" i="9"/>
  <c r="K61" i="9" s="1"/>
  <c r="B62" i="9"/>
  <c r="Z14" i="9"/>
  <c r="T62" i="9" l="1"/>
  <c r="K62" i="9" s="1"/>
  <c r="B63" i="9"/>
  <c r="S61" i="9"/>
  <c r="N61" i="9"/>
  <c r="Q61" i="9" s="1"/>
  <c r="R61" i="9" s="1"/>
  <c r="L61" i="9"/>
  <c r="W61" i="9" s="1"/>
  <c r="M61" i="9"/>
  <c r="M62" i="9" l="1"/>
  <c r="N62" i="9"/>
  <c r="Q62" i="9" s="1"/>
  <c r="R62" i="9" s="1"/>
  <c r="L62" i="9"/>
  <c r="W62" i="9" s="1"/>
  <c r="S62" i="9"/>
  <c r="T63" i="9"/>
  <c r="K63" i="9" s="1"/>
  <c r="B64" i="9"/>
  <c r="T64" i="9" l="1"/>
  <c r="K64" i="9" s="1"/>
  <c r="B65" i="9"/>
  <c r="S63" i="9"/>
  <c r="L63" i="9"/>
  <c r="W63" i="9" s="1"/>
  <c r="M63" i="9"/>
  <c r="N63" i="9"/>
  <c r="Q63" i="9" s="1"/>
  <c r="R63" i="9" s="1"/>
  <c r="T65" i="9" l="1"/>
  <c r="K65" i="9" s="1"/>
  <c r="B66" i="9"/>
  <c r="N64" i="9"/>
  <c r="Q64" i="9" s="1"/>
  <c r="R64" i="9" s="1"/>
  <c r="M64" i="9"/>
  <c r="L64" i="9"/>
  <c r="W64" i="9" s="1"/>
  <c r="S64" i="9"/>
  <c r="S65" i="9" l="1"/>
  <c r="N65" i="9"/>
  <c r="Q65" i="9" s="1"/>
  <c r="R65" i="9" s="1"/>
  <c r="L65" i="9"/>
  <c r="W65" i="9" s="1"/>
  <c r="M65" i="9"/>
  <c r="T66" i="9"/>
  <c r="K66" i="9" s="1"/>
  <c r="B67" i="9"/>
  <c r="T67" i="9" l="1"/>
  <c r="K67" i="9" s="1"/>
  <c r="B68" i="9"/>
  <c r="S66" i="9"/>
  <c r="N66" i="9"/>
  <c r="Q66" i="9" s="1"/>
  <c r="R66" i="9" s="1"/>
  <c r="M66" i="9"/>
  <c r="L66" i="9"/>
  <c r="W66" i="9" s="1"/>
  <c r="Z15" i="9" s="1"/>
  <c r="T68" i="9" l="1"/>
  <c r="K68" i="9" s="1"/>
  <c r="B69" i="9"/>
  <c r="N67" i="9"/>
  <c r="Q67" i="9" s="1"/>
  <c r="R67" i="9" s="1"/>
  <c r="M67" i="9"/>
  <c r="S67" i="9"/>
  <c r="L67" i="9"/>
  <c r="W67" i="9" s="1"/>
  <c r="T69" i="9" l="1"/>
  <c r="K69" i="9" s="1"/>
  <c r="B70" i="9"/>
  <c r="N68" i="9"/>
  <c r="Q68" i="9" s="1"/>
  <c r="R68" i="9" s="1"/>
  <c r="L68" i="9"/>
  <c r="W68" i="9" s="1"/>
  <c r="S68" i="9"/>
  <c r="M68" i="9"/>
  <c r="S69" i="9" l="1"/>
  <c r="L69" i="9"/>
  <c r="W69" i="9" s="1"/>
  <c r="M69" i="9"/>
  <c r="N69" i="9"/>
  <c r="Q69" i="9" s="1"/>
  <c r="R69" i="9" s="1"/>
  <c r="T70" i="9"/>
  <c r="K70" i="9" s="1"/>
  <c r="B71" i="9"/>
  <c r="T71" i="9" l="1"/>
  <c r="K71" i="9" s="1"/>
  <c r="B72" i="9"/>
  <c r="N70" i="9"/>
  <c r="Q70" i="9" s="1"/>
  <c r="R70" i="9" s="1"/>
  <c r="S70" i="9"/>
  <c r="M70" i="9"/>
  <c r="L70" i="9"/>
  <c r="W70" i="9" s="1"/>
  <c r="L71" i="9" l="1"/>
  <c r="W71" i="9" s="1"/>
  <c r="M71" i="9"/>
  <c r="S71" i="9"/>
  <c r="N71" i="9"/>
  <c r="Q71" i="9" s="1"/>
  <c r="R71" i="9" s="1"/>
  <c r="T72" i="9"/>
  <c r="K72" i="9" s="1"/>
  <c r="B73" i="9"/>
  <c r="T73" i="9" l="1"/>
  <c r="K73" i="9" s="1"/>
  <c r="B74" i="9"/>
  <c r="S72" i="9"/>
  <c r="M72" i="9"/>
  <c r="L72" i="9"/>
  <c r="W72" i="9" s="1"/>
  <c r="N72" i="9"/>
  <c r="Q72" i="9" s="1"/>
  <c r="R72" i="9" s="1"/>
  <c r="N73" i="9" l="1"/>
  <c r="Q73" i="9" s="1"/>
  <c r="R73" i="9" s="1"/>
  <c r="S73" i="9"/>
  <c r="L73" i="9"/>
  <c r="W73" i="9" s="1"/>
  <c r="M73" i="9"/>
  <c r="T74" i="9"/>
  <c r="K74" i="9" s="1"/>
  <c r="B75" i="9"/>
  <c r="S74" i="9" l="1"/>
  <c r="L74" i="9"/>
  <c r="W74" i="9" s="1"/>
  <c r="M74" i="9"/>
  <c r="N74" i="9"/>
  <c r="Q74" i="9" s="1"/>
  <c r="R74" i="9" s="1"/>
  <c r="T75" i="9"/>
  <c r="K75" i="9" s="1"/>
  <c r="B76" i="9"/>
  <c r="T76" i="9" l="1"/>
  <c r="K76" i="9" s="1"/>
  <c r="B77" i="9"/>
  <c r="S75" i="9"/>
  <c r="N75" i="9"/>
  <c r="Q75" i="9" s="1"/>
  <c r="R75" i="9" s="1"/>
  <c r="M75" i="9"/>
  <c r="L75" i="9"/>
  <c r="W75" i="9" s="1"/>
  <c r="S76" i="9" l="1"/>
  <c r="M76" i="9"/>
  <c r="N76" i="9"/>
  <c r="Q76" i="9" s="1"/>
  <c r="R76" i="9" s="1"/>
  <c r="L76" i="9"/>
  <c r="W76" i="9" s="1"/>
  <c r="T77" i="9"/>
  <c r="K77" i="9" s="1"/>
  <c r="B78" i="9"/>
  <c r="L77" i="9" l="1"/>
  <c r="W77" i="9" s="1"/>
  <c r="M77" i="9"/>
  <c r="N77" i="9"/>
  <c r="Q77" i="9" s="1"/>
  <c r="R77" i="9" s="1"/>
  <c r="S77" i="9"/>
  <c r="T78" i="9"/>
  <c r="K78" i="9" s="1"/>
  <c r="B79" i="9"/>
  <c r="T79" i="9" l="1"/>
  <c r="K79" i="9" s="1"/>
  <c r="B80" i="9"/>
  <c r="L78" i="9"/>
  <c r="W78" i="9" s="1"/>
  <c r="M78" i="9"/>
  <c r="N78" i="9"/>
  <c r="Q78" i="9" s="1"/>
  <c r="R78" i="9" s="1"/>
  <c r="S78" i="9"/>
  <c r="T80" i="9" l="1"/>
  <c r="K80" i="9" s="1"/>
  <c r="B81" i="9"/>
  <c r="L79" i="9"/>
  <c r="W79" i="9" s="1"/>
  <c r="S79" i="9"/>
  <c r="N79" i="9"/>
  <c r="Q79" i="9" s="1"/>
  <c r="R79" i="9" s="1"/>
  <c r="M79" i="9"/>
  <c r="T81" i="9" l="1"/>
  <c r="K81" i="9" s="1"/>
  <c r="B82" i="9"/>
  <c r="N80" i="9"/>
  <c r="Q80" i="9" s="1"/>
  <c r="R80" i="9" s="1"/>
  <c r="S80" i="9"/>
  <c r="L80" i="9"/>
  <c r="W80" i="9" s="1"/>
  <c r="M80" i="9"/>
  <c r="M81" i="9" l="1"/>
  <c r="L81" i="9"/>
  <c r="W81" i="9" s="1"/>
  <c r="S81" i="9"/>
  <c r="N81" i="9"/>
  <c r="Q81" i="9" s="1"/>
  <c r="R81" i="9" s="1"/>
  <c r="T82" i="9"/>
  <c r="K82" i="9" s="1"/>
  <c r="B83" i="9"/>
  <c r="T83" i="9" l="1"/>
  <c r="K83" i="9" s="1"/>
  <c r="B84" i="9"/>
  <c r="S82" i="9"/>
  <c r="N82" i="9"/>
  <c r="Q82" i="9" s="1"/>
  <c r="R82" i="9" s="1"/>
  <c r="L82" i="9"/>
  <c r="W82" i="9" s="1"/>
  <c r="M82" i="9"/>
  <c r="L83" i="9" l="1"/>
  <c r="W83" i="9" s="1"/>
  <c r="N83" i="9"/>
  <c r="Q83" i="9" s="1"/>
  <c r="R83" i="9" s="1"/>
  <c r="S83" i="9"/>
  <c r="M83" i="9"/>
  <c r="T84" i="9"/>
  <c r="K84" i="9" s="1"/>
  <c r="B85" i="9"/>
  <c r="T85" i="9" l="1"/>
  <c r="K85" i="9" s="1"/>
  <c r="B86" i="9"/>
  <c r="N84" i="9"/>
  <c r="Q84" i="9" s="1"/>
  <c r="R84" i="9" s="1"/>
  <c r="L84" i="9"/>
  <c r="W84" i="9" s="1"/>
  <c r="M84" i="9"/>
  <c r="S84" i="9"/>
  <c r="L85" i="9" l="1"/>
  <c r="W85" i="9" s="1"/>
  <c r="N85" i="9"/>
  <c r="Q85" i="9" s="1"/>
  <c r="R85" i="9" s="1"/>
  <c r="S85" i="9"/>
  <c r="M85" i="9"/>
  <c r="T86" i="9"/>
  <c r="K86" i="9" s="1"/>
  <c r="B87" i="9"/>
  <c r="T87" i="9" l="1"/>
  <c r="K87" i="9" s="1"/>
  <c r="B88" i="9"/>
  <c r="N86" i="9"/>
  <c r="Q86" i="9" s="1"/>
  <c r="R86" i="9" s="1"/>
  <c r="S86" i="9"/>
  <c r="L86" i="9"/>
  <c r="W86" i="9" s="1"/>
  <c r="M86" i="9"/>
  <c r="L87" i="9" l="1"/>
  <c r="W87" i="9" s="1"/>
  <c r="S87" i="9"/>
  <c r="N87" i="9"/>
  <c r="Q87" i="9" s="1"/>
  <c r="R87" i="9" s="1"/>
  <c r="M87" i="9"/>
  <c r="T88" i="9"/>
  <c r="K88" i="9" s="1"/>
  <c r="B89" i="9"/>
  <c r="L88" i="9" l="1"/>
  <c r="W88" i="9" s="1"/>
  <c r="N88" i="9"/>
  <c r="Q88" i="9" s="1"/>
  <c r="R88" i="9" s="1"/>
  <c r="M88" i="9"/>
  <c r="S88" i="9"/>
  <c r="T89" i="9"/>
  <c r="K89" i="9" s="1"/>
  <c r="B90" i="9"/>
  <c r="N89" i="9" l="1"/>
  <c r="Q89" i="9" s="1"/>
  <c r="R89" i="9" s="1"/>
  <c r="M89" i="9"/>
  <c r="L89" i="9"/>
  <c r="W89" i="9" s="1"/>
  <c r="S89" i="9"/>
  <c r="T90" i="9"/>
  <c r="K90" i="9" s="1"/>
  <c r="B91" i="9"/>
  <c r="T91" i="9" l="1"/>
  <c r="K91" i="9" s="1"/>
  <c r="B92" i="9"/>
  <c r="L90" i="9"/>
  <c r="W90" i="9" s="1"/>
  <c r="S90" i="9"/>
  <c r="N90" i="9"/>
  <c r="Q90" i="9" s="1"/>
  <c r="R90" i="9" s="1"/>
  <c r="M90" i="9"/>
  <c r="T92" i="9" l="1"/>
  <c r="K92" i="9" s="1"/>
  <c r="B93" i="9"/>
  <c r="M91" i="9"/>
  <c r="L91" i="9"/>
  <c r="W91" i="9" s="1"/>
  <c r="Z18" i="9" s="1"/>
  <c r="S91" i="9"/>
  <c r="N91" i="9"/>
  <c r="Q91" i="9" s="1"/>
  <c r="R91" i="9" s="1"/>
  <c r="L92" i="9" l="1"/>
  <c r="W92" i="9" s="1"/>
  <c r="N92" i="9"/>
  <c r="Q92" i="9" s="1"/>
  <c r="R92" i="9" s="1"/>
  <c r="S92" i="9"/>
  <c r="M92" i="9"/>
  <c r="T93" i="9"/>
  <c r="K93" i="9" s="1"/>
  <c r="B94" i="9"/>
  <c r="T94" i="9" l="1"/>
  <c r="K94" i="9" s="1"/>
  <c r="B95" i="9"/>
  <c r="M93" i="9"/>
  <c r="L93" i="9"/>
  <c r="W93" i="9" s="1"/>
  <c r="S93" i="9"/>
  <c r="N93" i="9"/>
  <c r="Q93" i="9" s="1"/>
  <c r="R93" i="9" s="1"/>
  <c r="N94" i="9" l="1"/>
  <c r="Q94" i="9" s="1"/>
  <c r="R94" i="9" s="1"/>
  <c r="S94" i="9"/>
  <c r="M94" i="9"/>
  <c r="L94" i="9"/>
  <c r="W94" i="9" s="1"/>
  <c r="T95" i="9"/>
  <c r="K95" i="9" s="1"/>
  <c r="B96" i="9"/>
  <c r="L95" i="9" l="1"/>
  <c r="W95" i="9" s="1"/>
  <c r="N95" i="9"/>
  <c r="Q95" i="9" s="1"/>
  <c r="R95" i="9" s="1"/>
  <c r="M95" i="9"/>
  <c r="S95" i="9"/>
  <c r="T96" i="9"/>
  <c r="K96" i="9" s="1"/>
  <c r="B97" i="9"/>
  <c r="T97" i="9" s="1"/>
  <c r="K97" i="9" s="1"/>
  <c r="N96" i="9" l="1"/>
  <c r="Q96" i="9" s="1"/>
  <c r="R96" i="9" s="1"/>
  <c r="S96" i="9"/>
  <c r="L96" i="9"/>
  <c r="W96" i="9" s="1"/>
  <c r="M96" i="9"/>
  <c r="N97" i="9"/>
  <c r="Q97" i="9" s="1"/>
  <c r="R97" i="9" s="1"/>
  <c r="L97" i="9"/>
  <c r="M97" i="9"/>
  <c r="S97" i="9"/>
  <c r="F98" i="9"/>
  <c r="W97" i="9" l="1"/>
  <c r="Z19" i="9" s="1"/>
  <c r="T98" i="9"/>
  <c r="Z9" i="9" l="1"/>
  <c r="Z10" i="9"/>
  <c r="Z11" i="9"/>
  <c r="Z16" i="9"/>
  <c r="Z17" i="9"/>
</calcChain>
</file>

<file path=xl/sharedStrings.xml><?xml version="1.0" encoding="utf-8"?>
<sst xmlns="http://schemas.openxmlformats.org/spreadsheetml/2006/main" count="139" uniqueCount="136">
  <si>
    <t>A - 0</t>
  </si>
  <si>
    <t>A# - 0</t>
  </si>
  <si>
    <t>B - 0</t>
  </si>
  <si>
    <t>C - 1</t>
  </si>
  <si>
    <t>C# - 1</t>
  </si>
  <si>
    <t>D - 1</t>
  </si>
  <si>
    <t>D# - 1</t>
  </si>
  <si>
    <t>E - 1</t>
  </si>
  <si>
    <t>F - 1</t>
  </si>
  <si>
    <t>F# - 1</t>
  </si>
  <si>
    <t>G - 1</t>
  </si>
  <si>
    <t>G# - 1</t>
  </si>
  <si>
    <t>A - 1</t>
  </si>
  <si>
    <t>A# - 1</t>
  </si>
  <si>
    <t>B - 1</t>
  </si>
  <si>
    <t>C - 2</t>
  </si>
  <si>
    <t>C# - 2</t>
  </si>
  <si>
    <t>D - 2</t>
  </si>
  <si>
    <t>D# - 2</t>
  </si>
  <si>
    <t>E - 2</t>
  </si>
  <si>
    <t>F - 2</t>
  </si>
  <si>
    <t>F# - 2</t>
  </si>
  <si>
    <t>G - 2</t>
  </si>
  <si>
    <t>G# - 2</t>
  </si>
  <si>
    <t>A - 2</t>
  </si>
  <si>
    <t>A# - 2</t>
  </si>
  <si>
    <t>B - 2</t>
  </si>
  <si>
    <t>C - 3</t>
  </si>
  <si>
    <t>C# - 3</t>
  </si>
  <si>
    <t>D - 3</t>
  </si>
  <si>
    <t>D# - 3</t>
  </si>
  <si>
    <t>E - 3</t>
  </si>
  <si>
    <t>F - 3</t>
  </si>
  <si>
    <t>F# - 3</t>
  </si>
  <si>
    <t>G - 3</t>
  </si>
  <si>
    <t>G# - 3</t>
  </si>
  <si>
    <t>A - 3</t>
  </si>
  <si>
    <t>A# - 3</t>
  </si>
  <si>
    <t>B - 3</t>
  </si>
  <si>
    <t>C - 4</t>
  </si>
  <si>
    <t>C# - 4</t>
  </si>
  <si>
    <t>D - 4</t>
  </si>
  <si>
    <t>D# - 4</t>
  </si>
  <si>
    <t>E - 4</t>
  </si>
  <si>
    <t>F - 4</t>
  </si>
  <si>
    <t>F# - 4</t>
  </si>
  <si>
    <t>G - 4</t>
  </si>
  <si>
    <t>G# - 4</t>
  </si>
  <si>
    <t>A - 4</t>
  </si>
  <si>
    <t>A# - 4</t>
  </si>
  <si>
    <t>B - 4</t>
  </si>
  <si>
    <t>C - 5</t>
  </si>
  <si>
    <t>C# - 5</t>
  </si>
  <si>
    <t>D - 5</t>
  </si>
  <si>
    <t>D# - 5</t>
  </si>
  <si>
    <t>E - 5</t>
  </si>
  <si>
    <t>F - 5</t>
  </si>
  <si>
    <t>F# - 5</t>
  </si>
  <si>
    <t>G - 5</t>
  </si>
  <si>
    <t>G# - 5</t>
  </si>
  <si>
    <t>A - 5</t>
  </si>
  <si>
    <t>A# - 5</t>
  </si>
  <si>
    <t>B - 5</t>
  </si>
  <si>
    <t>C - 6</t>
  </si>
  <si>
    <t>C# - 6</t>
  </si>
  <si>
    <t>D - 6</t>
  </si>
  <si>
    <t>D# - 6</t>
  </si>
  <si>
    <t>E - 6</t>
  </si>
  <si>
    <t>F - 6</t>
  </si>
  <si>
    <t>F# - 6</t>
  </si>
  <si>
    <t>G - 6</t>
  </si>
  <si>
    <t>G# - 6</t>
  </si>
  <si>
    <t>A - 6</t>
  </si>
  <si>
    <t>A# - 6</t>
  </si>
  <si>
    <t>B - 6</t>
  </si>
  <si>
    <t>C# - 7</t>
  </si>
  <si>
    <t>D - 7</t>
  </si>
  <si>
    <t>D# - 7</t>
  </si>
  <si>
    <t>E - 7</t>
  </si>
  <si>
    <t>F - 7</t>
  </si>
  <si>
    <t>F# - 7</t>
  </si>
  <si>
    <t>G - 7</t>
  </si>
  <si>
    <t>G# - 7</t>
  </si>
  <si>
    <t>A - 7</t>
  </si>
  <si>
    <t>A# - 7</t>
  </si>
  <si>
    <t>B - 7</t>
  </si>
  <si>
    <t>C - 8</t>
  </si>
  <si>
    <t>Note</t>
  </si>
  <si>
    <t>(WS)</t>
  </si>
  <si>
    <t>(NS)</t>
  </si>
  <si>
    <t>(WM)</t>
  </si>
  <si>
    <t>(T)</t>
  </si>
  <si>
    <r>
      <t>(I</t>
    </r>
    <r>
      <rPr>
        <vertAlign val="subscript"/>
        <sz val="10"/>
        <rFont val="Arial"/>
        <family val="2"/>
      </rPr>
      <t>core</t>
    </r>
    <r>
      <rPr>
        <sz val="10"/>
        <rFont val="Arial"/>
        <family val="2"/>
      </rPr>
      <t>)</t>
    </r>
  </si>
  <si>
    <r>
      <t>(I</t>
    </r>
    <r>
      <rPr>
        <vertAlign val="subscript"/>
        <sz val="10"/>
        <rFont val="Arial"/>
        <family val="2"/>
      </rPr>
      <t>end</t>
    </r>
    <r>
      <rPr>
        <sz val="10"/>
        <rFont val="Arial"/>
        <family val="2"/>
      </rPr>
      <t>)</t>
    </r>
  </si>
  <si>
    <r>
      <t>(I</t>
    </r>
    <r>
      <rPr>
        <vertAlign val="subscript"/>
        <sz val="10"/>
        <rFont val="Arial"/>
        <family val="2"/>
      </rPr>
      <t>step</t>
    </r>
    <r>
      <rPr>
        <sz val="10"/>
        <rFont val="Arial"/>
        <family val="2"/>
      </rPr>
      <t>)</t>
    </r>
  </si>
  <si>
    <t>(Un)</t>
  </si>
  <si>
    <t>(Lmm)</t>
  </si>
  <si>
    <t>(Lin)</t>
  </si>
  <si>
    <t>(Dc)</t>
  </si>
  <si>
    <t>(Dw)</t>
  </si>
  <si>
    <t>Freq</t>
  </si>
  <si>
    <t>Unison Number</t>
  </si>
  <si>
    <t>Length in Millimeters</t>
  </si>
  <si>
    <t>Length in Inches</t>
  </si>
  <si>
    <t>Wire Ssize</t>
  </si>
  <si>
    <t>Number of Strings in Unison</t>
  </si>
  <si>
    <t>Wrap Weighting Factor</t>
  </si>
  <si>
    <t>Single String Tension</t>
  </si>
  <si>
    <t>Unison Tension</t>
  </si>
  <si>
    <t>Inharmonicity Constant</t>
  </si>
  <si>
    <t>Inharmonicity of Fourth Partial</t>
  </si>
  <si>
    <t>Frequency, Ccomputed From Fork Pitch</t>
  </si>
  <si>
    <t>Tension % of Break</t>
  </si>
  <si>
    <t>Z</t>
  </si>
  <si>
    <t>Impedance</t>
  </si>
  <si>
    <t>Average String Tension</t>
  </si>
  <si>
    <t>Total Bass Tension</t>
  </si>
  <si>
    <t>Total Scale Tension</t>
  </si>
  <si>
    <t>(Tu)</t>
  </si>
  <si>
    <t>(Tb)</t>
  </si>
  <si>
    <t>(Ic)</t>
  </si>
  <si>
    <t>(I4)</t>
  </si>
  <si>
    <t>Core Diameter 0.001"</t>
  </si>
  <si>
    <t>Outside Wrap Diameter 0.001"</t>
  </si>
  <si>
    <t>Rib #</t>
  </si>
  <si>
    <t>Piano:</t>
  </si>
  <si>
    <t>A4=</t>
  </si>
  <si>
    <t>Db</t>
  </si>
  <si>
    <t>Anticipated Downbearing angle</t>
  </si>
  <si>
    <t>Ul</t>
  </si>
  <si>
    <t>Ra</t>
  </si>
  <si>
    <t>Rib assignment</t>
  </si>
  <si>
    <t>Unison Downbearing Load</t>
  </si>
  <si>
    <t>Rib load</t>
  </si>
  <si>
    <t xml:space="preserve">Original lengths </t>
  </si>
  <si>
    <t xml:space="preserve">Original String Scale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</si>
</sst>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vertAlign val="subscript"/>
      <sz val="10"/>
      <name val="Arial"/>
      <family val="2"/>
    </font>
    <font>
      <sz val="8"/>
      <name val="Arial"/>
      <family val="2"/>
    </font>
    <font>
      <b/>
      <u/>
      <sz val="12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b/>
      <u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0" fillId="0" borderId="0" applyFont="0" applyBorder="0" applyAlignment="0"/>
  </cellStyleXfs>
  <cellXfs count="75">
    <xf numFmtId="0" fontId="0" fillId="0" borderId="0" xfId="0"/>
    <xf numFmtId="0" fontId="2" fillId="0" borderId="0" xfId="0" applyFont="1" applyFill="1" applyBorder="1"/>
    <xf numFmtId="0" fontId="2" fillId="0" borderId="0" xfId="0" applyFont="1"/>
    <xf numFmtId="0" fontId="4" fillId="0" borderId="0" xfId="0" applyFont="1" applyAlignment="1">
      <alignment horizontal="center" textRotation="90" wrapText="1"/>
    </xf>
    <xf numFmtId="0" fontId="2" fillId="2" borderId="1" xfId="0" applyFont="1" applyFill="1" applyBorder="1" applyAlignment="1">
      <alignment horizontal="center" wrapText="1"/>
    </xf>
    <xf numFmtId="0" fontId="0" fillId="2" borderId="2" xfId="0" applyFill="1" applyBorder="1" applyAlignment="1">
      <alignment horizontal="left" indent="1"/>
    </xf>
    <xf numFmtId="0" fontId="0" fillId="2" borderId="3" xfId="0" applyFill="1" applyBorder="1"/>
    <xf numFmtId="1" fontId="0" fillId="2" borderId="4" xfId="0" applyNumberFormat="1" applyFill="1" applyBorder="1" applyAlignment="1">
      <alignment horizontal="center"/>
    </xf>
    <xf numFmtId="0" fontId="4" fillId="0" borderId="5" xfId="0" applyFont="1" applyBorder="1" applyAlignment="1">
      <alignment horizontal="center" textRotation="90" wrapText="1"/>
    </xf>
    <xf numFmtId="0" fontId="4" fillId="0" borderId="6" xfId="0" applyFont="1" applyBorder="1" applyAlignment="1">
      <alignment horizontal="center" textRotation="90" wrapText="1"/>
    </xf>
    <xf numFmtId="0" fontId="2" fillId="2" borderId="7" xfId="0" applyFont="1" applyFill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" fontId="0" fillId="0" borderId="0" xfId="0" applyNumberFormat="1" applyBorder="1" applyAlignment="1">
      <alignment horizontal="center"/>
    </xf>
    <xf numFmtId="9" fontId="0" fillId="0" borderId="0" xfId="0" applyNumberFormat="1" applyBorder="1" applyAlignment="1">
      <alignment horizontal="center"/>
    </xf>
    <xf numFmtId="0" fontId="0" fillId="0" borderId="0" xfId="0" applyBorder="1"/>
    <xf numFmtId="2" fontId="0" fillId="0" borderId="0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10" xfId="0" applyBorder="1"/>
    <xf numFmtId="2" fontId="0" fillId="0" borderId="10" xfId="0" applyNumberFormat="1" applyBorder="1" applyAlignment="1">
      <alignment horizontal="center"/>
    </xf>
    <xf numFmtId="1" fontId="0" fillId="2" borderId="4" xfId="0" applyNumberForma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1" fontId="0" fillId="2" borderId="12" xfId="0" applyNumberFormat="1" applyFill="1" applyBorder="1" applyAlignment="1">
      <alignment horizontal="center"/>
    </xf>
    <xf numFmtId="0" fontId="5" fillId="0" borderId="0" xfId="0" applyFont="1"/>
    <xf numFmtId="1" fontId="0" fillId="0" borderId="0" xfId="0" applyNumberFormat="1"/>
    <xf numFmtId="2" fontId="0" fillId="0" borderId="0" xfId="0" applyNumberFormat="1"/>
    <xf numFmtId="0" fontId="6" fillId="0" borderId="13" xfId="0" applyFont="1" applyBorder="1" applyAlignment="1">
      <alignment horizontal="center"/>
    </xf>
    <xf numFmtId="0" fontId="6" fillId="0" borderId="14" xfId="0" applyFont="1" applyBorder="1" applyAlignment="1">
      <alignment horizontal="center"/>
    </xf>
    <xf numFmtId="0" fontId="6" fillId="0" borderId="0" xfId="0" applyFont="1"/>
    <xf numFmtId="0" fontId="7" fillId="0" borderId="0" xfId="0" applyFont="1"/>
    <xf numFmtId="0" fontId="8" fillId="0" borderId="0" xfId="0" applyFont="1"/>
    <xf numFmtId="0" fontId="0" fillId="0" borderId="15" xfId="0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3" xfId="0" applyNumberForma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9" fontId="0" fillId="0" borderId="3" xfId="0" applyNumberFormat="1" applyBorder="1" applyAlignment="1">
      <alignment horizontal="center"/>
    </xf>
    <xf numFmtId="0" fontId="0" fillId="0" borderId="3" xfId="0" applyBorder="1"/>
    <xf numFmtId="2" fontId="0" fillId="0" borderId="3" xfId="0" applyNumberFormat="1" applyBorder="1" applyAlignment="1">
      <alignment horizontal="center"/>
    </xf>
    <xf numFmtId="0" fontId="4" fillId="3" borderId="6" xfId="0" applyFont="1" applyFill="1" applyBorder="1" applyAlignment="1">
      <alignment horizontal="center" textRotation="90" wrapText="1"/>
    </xf>
    <xf numFmtId="0" fontId="2" fillId="3" borderId="1" xfId="0" applyFont="1" applyFill="1" applyBorder="1" applyAlignment="1">
      <alignment horizontal="center" wrapText="1"/>
    </xf>
    <xf numFmtId="1" fontId="0" fillId="3" borderId="0" xfId="0" applyNumberFormat="1" applyFill="1" applyBorder="1" applyAlignment="1">
      <alignment horizontal="center"/>
    </xf>
    <xf numFmtId="1" fontId="0" fillId="3" borderId="3" xfId="0" applyNumberFormat="1" applyFill="1" applyBorder="1" applyAlignment="1">
      <alignment horizontal="center"/>
    </xf>
    <xf numFmtId="1" fontId="0" fillId="3" borderId="10" xfId="0" applyNumberFormat="1" applyFill="1" applyBorder="1" applyAlignment="1">
      <alignment horizontal="center"/>
    </xf>
    <xf numFmtId="0" fontId="0" fillId="0" borderId="0" xfId="0" applyFill="1"/>
    <xf numFmtId="164" fontId="0" fillId="0" borderId="0" xfId="0" applyNumberForma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1" fontId="2" fillId="0" borderId="0" xfId="0" applyNumberFormat="1" applyFont="1" applyFill="1" applyBorder="1"/>
    <xf numFmtId="1" fontId="0" fillId="2" borderId="0" xfId="0" applyNumberFormat="1" applyFill="1" applyBorder="1" applyAlignment="1">
      <alignment horizontal="center"/>
    </xf>
    <xf numFmtId="0" fontId="2" fillId="2" borderId="16" xfId="0" applyFont="1" applyFill="1" applyBorder="1" applyAlignment="1">
      <alignment horizontal="center" wrapText="1"/>
    </xf>
    <xf numFmtId="1" fontId="0" fillId="0" borderId="0" xfId="0" applyNumberFormat="1" applyFill="1" applyBorder="1" applyAlignment="1">
      <alignment horizontal="center"/>
    </xf>
    <xf numFmtId="0" fontId="7" fillId="0" borderId="0" xfId="0" applyFont="1" applyFill="1"/>
    <xf numFmtId="0" fontId="8" fillId="0" borderId="0" xfId="0" applyFont="1" applyFill="1"/>
    <xf numFmtId="0" fontId="4" fillId="0" borderId="6" xfId="0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horizontal="center" wrapText="1"/>
    </xf>
    <xf numFmtId="164" fontId="0" fillId="0" borderId="3" xfId="0" applyNumberFormat="1" applyFill="1" applyBorder="1" applyAlignment="1">
      <alignment horizontal="center"/>
    </xf>
    <xf numFmtId="0" fontId="0" fillId="0" borderId="3" xfId="0" applyFill="1" applyBorder="1"/>
    <xf numFmtId="0" fontId="4" fillId="4" borderId="6" xfId="0" applyFont="1" applyFill="1" applyBorder="1" applyAlignment="1">
      <alignment horizontal="center" textRotation="90" wrapText="1"/>
    </xf>
    <xf numFmtId="0" fontId="2" fillId="4" borderId="1" xfId="0" applyFont="1" applyFill="1" applyBorder="1" applyAlignment="1">
      <alignment horizontal="center" wrapText="1"/>
    </xf>
    <xf numFmtId="1" fontId="0" fillId="4" borderId="0" xfId="0" applyNumberFormat="1" applyFill="1" applyBorder="1" applyAlignment="1">
      <alignment horizontal="center"/>
    </xf>
    <xf numFmtId="1" fontId="2" fillId="3" borderId="0" xfId="0" applyNumberFormat="1" applyFont="1" applyFill="1" applyBorder="1" applyAlignment="1">
      <alignment horizontal="center"/>
    </xf>
    <xf numFmtId="1" fontId="0" fillId="0" borderId="3" xfId="0" applyNumberForma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2" fontId="0" fillId="0" borderId="18" xfId="0" applyNumberFormat="1" applyBorder="1" applyAlignment="1">
      <alignment horizontal="center"/>
    </xf>
    <xf numFmtId="2" fontId="0" fillId="0" borderId="4" xfId="0" applyNumberFormat="1" applyBorder="1" applyAlignment="1">
      <alignment horizontal="center"/>
    </xf>
    <xf numFmtId="1" fontId="0" fillId="4" borderId="3" xfId="0" applyNumberFormat="1" applyFill="1" applyBorder="1" applyAlignment="1">
      <alignment horizontal="center"/>
    </xf>
    <xf numFmtId="0" fontId="4" fillId="0" borderId="17" xfId="0" applyFont="1" applyBorder="1" applyAlignment="1">
      <alignment horizontal="center" textRotation="90" wrapText="1"/>
    </xf>
    <xf numFmtId="2" fontId="0" fillId="0" borderId="19" xfId="0" applyNumberFormat="1" applyBorder="1" applyAlignment="1">
      <alignment horizontal="center"/>
    </xf>
    <xf numFmtId="164" fontId="0" fillId="4" borderId="0" xfId="0" applyNumberFormat="1" applyFill="1" applyBorder="1" applyAlignment="1">
      <alignment horizontal="center"/>
    </xf>
    <xf numFmtId="164" fontId="0" fillId="4" borderId="3" xfId="0" applyNumberFormat="1" applyFill="1" applyBorder="1" applyAlignment="1">
      <alignment horizontal="center"/>
    </xf>
    <xf numFmtId="1" fontId="0" fillId="4" borderId="10" xfId="0" applyNumberFormat="1" applyFill="1" applyBorder="1" applyAlignment="1">
      <alignment horizontal="center"/>
    </xf>
  </cellXfs>
  <cellStyles count="3">
    <cellStyle name="Normal" xfId="0" builtinId="0"/>
    <cellStyle name="Normal 2" xfId="1" xr:uid="{00000000-0005-0000-0000-000002000000}"/>
    <cellStyle name="Style 1" xfId="2" xr:uid="{00000000-0005-0000-0000-000004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Tension - Inharmonicity - Impedance </a:t>
            </a:r>
          </a:p>
        </c:rich>
      </c:tx>
      <c:layout>
        <c:manualLayout>
          <c:xMode val="edge"/>
          <c:yMode val="edge"/>
          <c:x val="0.35803761143460588"/>
          <c:y val="6.794425344719236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1.747770447610374E-2"/>
          <c:y val="5.6068677247220903E-3"/>
          <c:w val="0.9665660061734247"/>
          <c:h val="0.9233457331923498"/>
        </c:manualLayout>
      </c:layout>
      <c:lineChart>
        <c:grouping val="standard"/>
        <c:varyColors val="0"/>
        <c:ser>
          <c:idx val="0"/>
          <c:order val="0"/>
          <c:spPr>
            <a:ln w="12700">
              <a:solidFill>
                <a:srgbClr val="FF000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val>
            <c:numRef>
              <c:f>'Original String Scale'!$L$10:$L$97</c:f>
              <c:numCache>
                <c:formatCode>0</c:formatCode>
                <c:ptCount val="88"/>
                <c:pt idx="0">
                  <c:v>244.12097767152272</c:v>
                </c:pt>
                <c:pt idx="1">
                  <c:v>240.00906795058393</c:v>
                </c:pt>
                <c:pt idx="2">
                  <c:v>242.93503162271361</c:v>
                </c:pt>
                <c:pt idx="3">
                  <c:v>242.60837111091345</c:v>
                </c:pt>
                <c:pt idx="4">
                  <c:v>243.35889454230934</c:v>
                </c:pt>
                <c:pt idx="5">
                  <c:v>243.07168917066485</c:v>
                </c:pt>
                <c:pt idx="6">
                  <c:v>244.93910637525309</c:v>
                </c:pt>
                <c:pt idx="7">
                  <c:v>244.76080942438085</c:v>
                </c:pt>
                <c:pt idx="8">
                  <c:v>413.2658985833155</c:v>
                </c:pt>
                <c:pt idx="9">
                  <c:v>411.7410058420773</c:v>
                </c:pt>
                <c:pt idx="10">
                  <c:v>400.56904623551168</c:v>
                </c:pt>
                <c:pt idx="11">
                  <c:v>399.02632800525441</c:v>
                </c:pt>
                <c:pt idx="12">
                  <c:v>388.89184123723953</c:v>
                </c:pt>
                <c:pt idx="13">
                  <c:v>389.418615683224</c:v>
                </c:pt>
                <c:pt idx="14">
                  <c:v>374.76001128827613</c:v>
                </c:pt>
                <c:pt idx="15">
                  <c:v>373.38039969413455</c:v>
                </c:pt>
                <c:pt idx="16">
                  <c:v>364.20483353805292</c:v>
                </c:pt>
                <c:pt idx="17">
                  <c:v>356.44820269999263</c:v>
                </c:pt>
                <c:pt idx="18">
                  <c:v>346.70965739547393</c:v>
                </c:pt>
                <c:pt idx="19">
                  <c:v>343.53901973176244</c:v>
                </c:pt>
                <c:pt idx="20">
                  <c:v>397.43077100012397</c:v>
                </c:pt>
                <c:pt idx="21">
                  <c:v>402.23396926637429</c:v>
                </c:pt>
                <c:pt idx="22">
                  <c:v>405.56435678462839</c:v>
                </c:pt>
                <c:pt idx="23">
                  <c:v>417.15971938236987</c:v>
                </c:pt>
                <c:pt idx="24">
                  <c:v>428.3749604091667</c:v>
                </c:pt>
                <c:pt idx="25">
                  <c:v>389.27056162838755</c:v>
                </c:pt>
                <c:pt idx="26">
                  <c:v>462.1030942921949</c:v>
                </c:pt>
                <c:pt idx="27">
                  <c:v>452.22174504918934</c:v>
                </c:pt>
                <c:pt idx="28">
                  <c:v>480.71952456297242</c:v>
                </c:pt>
                <c:pt idx="29">
                  <c:v>502.79422559335819</c:v>
                </c:pt>
                <c:pt idx="30">
                  <c:v>518.52434253672686</c:v>
                </c:pt>
                <c:pt idx="31">
                  <c:v>483.36779089980575</c:v>
                </c:pt>
                <c:pt idx="32">
                  <c:v>493.50695748059752</c:v>
                </c:pt>
                <c:pt idx="33">
                  <c:v>499.26749250294267</c:v>
                </c:pt>
                <c:pt idx="34">
                  <c:v>499.87082330728583</c:v>
                </c:pt>
                <c:pt idx="35">
                  <c:v>453.08970471238075</c:v>
                </c:pt>
                <c:pt idx="36">
                  <c:v>450.78386251430436</c:v>
                </c:pt>
                <c:pt idx="37">
                  <c:v>450.06526367992024</c:v>
                </c:pt>
                <c:pt idx="38">
                  <c:v>452.76791879359712</c:v>
                </c:pt>
                <c:pt idx="39">
                  <c:v>455.45081506066049</c:v>
                </c:pt>
                <c:pt idx="40">
                  <c:v>456.75710375607764</c:v>
                </c:pt>
                <c:pt idx="41">
                  <c:v>459.80655340299381</c:v>
                </c:pt>
                <c:pt idx="42">
                  <c:v>463.39712839664367</c:v>
                </c:pt>
                <c:pt idx="43">
                  <c:v>467.79186930430524</c:v>
                </c:pt>
                <c:pt idx="44">
                  <c:v>467.49995587697742</c:v>
                </c:pt>
                <c:pt idx="45">
                  <c:v>469.99705216138818</c:v>
                </c:pt>
                <c:pt idx="46">
                  <c:v>478.19419842986258</c:v>
                </c:pt>
                <c:pt idx="47">
                  <c:v>452.94503774712746</c:v>
                </c:pt>
                <c:pt idx="48">
                  <c:v>457.90591626530897</c:v>
                </c:pt>
                <c:pt idx="49">
                  <c:v>467.74814035435463</c:v>
                </c:pt>
                <c:pt idx="50">
                  <c:v>480.95285165096664</c:v>
                </c:pt>
                <c:pt idx="51">
                  <c:v>495.43872563836533</c:v>
                </c:pt>
                <c:pt idx="52">
                  <c:v>487.90745563621431</c:v>
                </c:pt>
                <c:pt idx="53">
                  <c:v>505.23274460870152</c:v>
                </c:pt>
                <c:pt idx="54">
                  <c:v>474.33445904079474</c:v>
                </c:pt>
                <c:pt idx="55">
                  <c:v>478.58797476638244</c:v>
                </c:pt>
                <c:pt idx="56">
                  <c:v>487.43121413265669</c:v>
                </c:pt>
                <c:pt idx="57">
                  <c:v>486.04245136819793</c:v>
                </c:pt>
                <c:pt idx="58">
                  <c:v>459.36000247700952</c:v>
                </c:pt>
                <c:pt idx="59">
                  <c:v>463.6542396276825</c:v>
                </c:pt>
                <c:pt idx="60">
                  <c:v>465.20803750531371</c:v>
                </c:pt>
                <c:pt idx="61">
                  <c:v>463.66503637956475</c:v>
                </c:pt>
                <c:pt idx="62">
                  <c:v>468.69439499245527</c:v>
                </c:pt>
                <c:pt idx="63">
                  <c:v>471.04334575007891</c:v>
                </c:pt>
                <c:pt idx="64">
                  <c:v>444.58465278047822</c:v>
                </c:pt>
                <c:pt idx="65">
                  <c:v>446.38465963019871</c:v>
                </c:pt>
                <c:pt idx="66">
                  <c:v>457.36627798709458</c:v>
                </c:pt>
                <c:pt idx="67">
                  <c:v>466.57918836440047</c:v>
                </c:pt>
                <c:pt idx="68">
                  <c:v>466.75877492988877</c:v>
                </c:pt>
                <c:pt idx="69">
                  <c:v>478.38333360575427</c:v>
                </c:pt>
                <c:pt idx="70">
                  <c:v>460.68095075999429</c:v>
                </c:pt>
                <c:pt idx="71">
                  <c:v>428.7436914514102</c:v>
                </c:pt>
                <c:pt idx="72">
                  <c:v>447.48746507075504</c:v>
                </c:pt>
                <c:pt idx="73">
                  <c:v>413.577763931155</c:v>
                </c:pt>
                <c:pt idx="74">
                  <c:v>410.95469987830631</c:v>
                </c:pt>
                <c:pt idx="75">
                  <c:v>414.00294060065539</c:v>
                </c:pt>
                <c:pt idx="76">
                  <c:v>424.31362297768374</c:v>
                </c:pt>
                <c:pt idx="77">
                  <c:v>422.50492586072562</c:v>
                </c:pt>
                <c:pt idx="78">
                  <c:v>392.58406379292734</c:v>
                </c:pt>
                <c:pt idx="79">
                  <c:v>395.49604102680092</c:v>
                </c:pt>
                <c:pt idx="80">
                  <c:v>395.97397109060535</c:v>
                </c:pt>
                <c:pt idx="81">
                  <c:v>406.11328145986835</c:v>
                </c:pt>
                <c:pt idx="82">
                  <c:v>389.22341206049737</c:v>
                </c:pt>
                <c:pt idx="83">
                  <c:v>395.63186721414877</c:v>
                </c:pt>
                <c:pt idx="84">
                  <c:v>385.90844931060207</c:v>
                </c:pt>
                <c:pt idx="85">
                  <c:v>465.24346940463158</c:v>
                </c:pt>
                <c:pt idx="86">
                  <c:v>434.61921949917632</c:v>
                </c:pt>
                <c:pt idx="87">
                  <c:v>433.17767530626998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4D-4277-A342-6074A670AEB1}"/>
            </c:ext>
          </c:extLst>
        </c:ser>
        <c:ser>
          <c:idx val="2"/>
          <c:order val="2"/>
          <c:spPr>
            <a:ln w="12700">
              <a:solidFill>
                <a:srgbClr val="80808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808080"/>
              </a:solidFill>
              <a:ln>
                <a:solidFill>
                  <a:srgbClr val="808080"/>
                </a:solidFill>
                <a:prstDash val="solid"/>
              </a:ln>
            </c:spPr>
          </c:marker>
          <c:val>
            <c:numRef>
              <c:f>'Original String Scale'!$S$10:$S$97</c:f>
              <c:numCache>
                <c:formatCode>0</c:formatCode>
                <c:ptCount val="88"/>
                <c:pt idx="0">
                  <c:v>481.96497847532822</c:v>
                </c:pt>
                <c:pt idx="1">
                  <c:v>455.58489676381134</c:v>
                </c:pt>
                <c:pt idx="2">
                  <c:v>440.12705655777177</c:v>
                </c:pt>
                <c:pt idx="3">
                  <c:v>423.01980787260857</c:v>
                </c:pt>
                <c:pt idx="4">
                  <c:v>406.83660373777252</c:v>
                </c:pt>
                <c:pt idx="5">
                  <c:v>389.76961720976215</c:v>
                </c:pt>
                <c:pt idx="6">
                  <c:v>375.78159469642003</c:v>
                </c:pt>
                <c:pt idx="7">
                  <c:v>360.1680933580966</c:v>
                </c:pt>
                <c:pt idx="8">
                  <c:v>518.33996143283161</c:v>
                </c:pt>
                <c:pt idx="9">
                  <c:v>502.02815055848396</c:v>
                </c:pt>
                <c:pt idx="10">
                  <c:v>473.79484792301332</c:v>
                </c:pt>
                <c:pt idx="11">
                  <c:v>460.28957116584718</c:v>
                </c:pt>
                <c:pt idx="12">
                  <c:v>435.83409297423145</c:v>
                </c:pt>
                <c:pt idx="13">
                  <c:v>426.18044019059357</c:v>
                </c:pt>
                <c:pt idx="14">
                  <c:v>399.85241305860347</c:v>
                </c:pt>
                <c:pt idx="15">
                  <c:v>391.81139447943968</c:v>
                </c:pt>
                <c:pt idx="16">
                  <c:v>371.40219380884844</c:v>
                </c:pt>
                <c:pt idx="17">
                  <c:v>357.9124791486272</c:v>
                </c:pt>
                <c:pt idx="18">
                  <c:v>340.14963657772086</c:v>
                </c:pt>
                <c:pt idx="19">
                  <c:v>331.58750249684147</c:v>
                </c:pt>
                <c:pt idx="20">
                  <c:v>312.78451752425303</c:v>
                </c:pt>
                <c:pt idx="21">
                  <c:v>307.09641582161896</c:v>
                </c:pt>
                <c:pt idx="22">
                  <c:v>300.76230098622705</c:v>
                </c:pt>
                <c:pt idx="23">
                  <c:v>296.09279314272845</c:v>
                </c:pt>
                <c:pt idx="24">
                  <c:v>294.83807097427052</c:v>
                </c:pt>
                <c:pt idx="25">
                  <c:v>273.61204798241045</c:v>
                </c:pt>
                <c:pt idx="26">
                  <c:v>334.09327473176199</c:v>
                </c:pt>
                <c:pt idx="27">
                  <c:v>315.81296692411502</c:v>
                </c:pt>
                <c:pt idx="28">
                  <c:v>325.61178691780361</c:v>
                </c:pt>
                <c:pt idx="29">
                  <c:v>333.0039442977386</c:v>
                </c:pt>
                <c:pt idx="30">
                  <c:v>338.17290767734005</c:v>
                </c:pt>
                <c:pt idx="31">
                  <c:v>311.3210539301574</c:v>
                </c:pt>
                <c:pt idx="32">
                  <c:v>314.56925799292492</c:v>
                </c:pt>
                <c:pt idx="33">
                  <c:v>316.39986025015043</c:v>
                </c:pt>
                <c:pt idx="34">
                  <c:v>316.59097638461321</c:v>
                </c:pt>
                <c:pt idx="35">
                  <c:v>286.70976542154131</c:v>
                </c:pt>
                <c:pt idx="36">
                  <c:v>285.97928011698582</c:v>
                </c:pt>
                <c:pt idx="37">
                  <c:v>285.75124806115059</c:v>
                </c:pt>
                <c:pt idx="38">
                  <c:v>286.60793619120693</c:v>
                </c:pt>
                <c:pt idx="39">
                  <c:v>287.45583596133059</c:v>
                </c:pt>
                <c:pt idx="40">
                  <c:v>287.86777006787878</c:v>
                </c:pt>
                <c:pt idx="41">
                  <c:v>288.82711799514408</c:v>
                </c:pt>
                <c:pt idx="42">
                  <c:v>289.95263341604704</c:v>
                </c:pt>
                <c:pt idx="43">
                  <c:v>291.32430757809612</c:v>
                </c:pt>
                <c:pt idx="44">
                  <c:v>291.23339669037523</c:v>
                </c:pt>
                <c:pt idx="45">
                  <c:v>292.01015537732798</c:v>
                </c:pt>
                <c:pt idx="46">
                  <c:v>294.54560018251829</c:v>
                </c:pt>
                <c:pt idx="47">
                  <c:v>279.31363128358521</c:v>
                </c:pt>
                <c:pt idx="48">
                  <c:v>280.83905650899868</c:v>
                </c:pt>
                <c:pt idx="49">
                  <c:v>283.84118594139716</c:v>
                </c:pt>
                <c:pt idx="50">
                  <c:v>287.81977543050482</c:v>
                </c:pt>
                <c:pt idx="51">
                  <c:v>292.12205889139165</c:v>
                </c:pt>
                <c:pt idx="52">
                  <c:v>282.26448159833552</c:v>
                </c:pt>
                <c:pt idx="53">
                  <c:v>287.23228312522451</c:v>
                </c:pt>
                <c:pt idx="54">
                  <c:v>278.31066141026434</c:v>
                </c:pt>
                <c:pt idx="55">
                  <c:v>279.55572879400273</c:v>
                </c:pt>
                <c:pt idx="56">
                  <c:v>282.12669022154796</c:v>
                </c:pt>
                <c:pt idx="57">
                  <c:v>281.72449345200386</c:v>
                </c:pt>
                <c:pt idx="58">
                  <c:v>266.48015411418811</c:v>
                </c:pt>
                <c:pt idx="59">
                  <c:v>267.7228254564447</c:v>
                </c:pt>
                <c:pt idx="60">
                  <c:v>268.17104655658738</c:v>
                </c:pt>
                <c:pt idx="61">
                  <c:v>267.72594256381194</c:v>
                </c:pt>
                <c:pt idx="62">
                  <c:v>269.17403332703191</c:v>
                </c:pt>
                <c:pt idx="63">
                  <c:v>269.8476986639244</c:v>
                </c:pt>
                <c:pt idx="64">
                  <c:v>254.87724198224041</c:v>
                </c:pt>
                <c:pt idx="65">
                  <c:v>255.39268639244563</c:v>
                </c:pt>
                <c:pt idx="66">
                  <c:v>258.51508834593011</c:v>
                </c:pt>
                <c:pt idx="67">
                  <c:v>261.10579298379355</c:v>
                </c:pt>
                <c:pt idx="68">
                  <c:v>261.15603802528614</c:v>
                </c:pt>
                <c:pt idx="69">
                  <c:v>264.38806486102197</c:v>
                </c:pt>
                <c:pt idx="70">
                  <c:v>252.03730412667738</c:v>
                </c:pt>
                <c:pt idx="71">
                  <c:v>243.14400713732326</c:v>
                </c:pt>
                <c:pt idx="72">
                  <c:v>248.40202709889036</c:v>
                </c:pt>
                <c:pt idx="73">
                  <c:v>238.80493024981996</c:v>
                </c:pt>
                <c:pt idx="74">
                  <c:v>231.04506519520842</c:v>
                </c:pt>
                <c:pt idx="75">
                  <c:v>231.90036603931006</c:v>
                </c:pt>
                <c:pt idx="76">
                  <c:v>234.77032919208</c:v>
                </c:pt>
                <c:pt idx="77">
                  <c:v>234.26942388135961</c:v>
                </c:pt>
                <c:pt idx="78">
                  <c:v>218.97881072580856</c:v>
                </c:pt>
                <c:pt idx="79">
                  <c:v>219.78944375748975</c:v>
                </c:pt>
                <c:pt idx="80">
                  <c:v>219.92220395799515</c:v>
                </c:pt>
                <c:pt idx="81">
                  <c:v>222.7200708387866</c:v>
                </c:pt>
                <c:pt idx="82">
                  <c:v>211.22579478543472</c:v>
                </c:pt>
                <c:pt idx="83">
                  <c:v>212.95758249936813</c:v>
                </c:pt>
                <c:pt idx="84">
                  <c:v>210.32438072394987</c:v>
                </c:pt>
                <c:pt idx="85">
                  <c:v>230.93386173812559</c:v>
                </c:pt>
                <c:pt idx="86">
                  <c:v>223.20398236788856</c:v>
                </c:pt>
                <c:pt idx="87">
                  <c:v>222.83351365013928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4D-4277-A342-6074A670A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50144"/>
        <c:axId val="127752064"/>
      </c:lineChart>
      <c:lineChart>
        <c:grouping val="standard"/>
        <c:varyColors val="0"/>
        <c:ser>
          <c:idx val="1"/>
          <c:order val="1"/>
          <c:spPr>
            <a:ln w="12700">
              <a:solidFill>
                <a:srgbClr val="00FF00"/>
              </a:solidFill>
              <a:prstDash val="solid"/>
            </a:ln>
          </c:spPr>
          <c:marker>
            <c:symbol val="dot"/>
            <c:size val="5"/>
            <c:spPr>
              <a:solidFill>
                <a:srgbClr val="00FF00"/>
              </a:solidFill>
              <a:ln>
                <a:solidFill>
                  <a:srgbClr val="00FF00"/>
                </a:solidFill>
                <a:prstDash val="solid"/>
              </a:ln>
            </c:spPr>
          </c:marker>
          <c:val>
            <c:numRef>
              <c:f>'Original String Scale'!$R$10:$R$97</c:f>
              <c:numCache>
                <c:formatCode>0.00</c:formatCode>
                <c:ptCount val="88"/>
                <c:pt idx="0">
                  <c:v>4.2910539838110164</c:v>
                </c:pt>
                <c:pt idx="1">
                  <c:v>3.9573717682364666</c:v>
                </c:pt>
                <c:pt idx="2">
                  <c:v>3.5296180528962195</c:v>
                </c:pt>
                <c:pt idx="3">
                  <c:v>3.2479968175692102</c:v>
                </c:pt>
                <c:pt idx="4">
                  <c:v>2.9478787178194681</c:v>
                </c:pt>
                <c:pt idx="5">
                  <c:v>2.6828673455603225</c:v>
                </c:pt>
                <c:pt idx="6">
                  <c:v>2.4202104699845219</c:v>
                </c:pt>
                <c:pt idx="7">
                  <c:v>2.2093414791033759</c:v>
                </c:pt>
                <c:pt idx="8">
                  <c:v>1.2865686645620458</c:v>
                </c:pt>
                <c:pt idx="9">
                  <c:v>1.3334694346323757</c:v>
                </c:pt>
                <c:pt idx="10">
                  <c:v>1.2985461764791311</c:v>
                </c:pt>
                <c:pt idx="11">
                  <c:v>1.3564434427720891</c:v>
                </c:pt>
                <c:pt idx="12">
                  <c:v>1.3226638330959022</c:v>
                </c:pt>
                <c:pt idx="13">
                  <c:v>1.3819811834884661</c:v>
                </c:pt>
                <c:pt idx="14">
                  <c:v>1.3657352197690746</c:v>
                </c:pt>
                <c:pt idx="15">
                  <c:v>1.46044626268041</c:v>
                </c:pt>
                <c:pt idx="16">
                  <c:v>1.4183858493898927</c:v>
                </c:pt>
                <c:pt idx="17">
                  <c:v>1.5288706199419977</c:v>
                </c:pt>
                <c:pt idx="18">
                  <c:v>1.5096706449249586</c:v>
                </c:pt>
                <c:pt idx="19">
                  <c:v>1.6142335067527931</c:v>
                </c:pt>
                <c:pt idx="20">
                  <c:v>0.80941742098923253</c:v>
                </c:pt>
                <c:pt idx="21">
                  <c:v>0.81394485887865986</c:v>
                </c:pt>
                <c:pt idx="22">
                  <c:v>0.82108601506205847</c:v>
                </c:pt>
                <c:pt idx="23">
                  <c:v>0.74134347187535143</c:v>
                </c:pt>
                <c:pt idx="24">
                  <c:v>0.7411356785263008</c:v>
                </c:pt>
                <c:pt idx="25">
                  <c:v>0.90548916806626667</c:v>
                </c:pt>
                <c:pt idx="26">
                  <c:v>2.4419132162647075</c:v>
                </c:pt>
                <c:pt idx="27">
                  <c:v>2.1787751451501598</c:v>
                </c:pt>
                <c:pt idx="28">
                  <c:v>2.1642301272499918</c:v>
                </c:pt>
                <c:pt idx="29">
                  <c:v>2.2206395203172491</c:v>
                </c:pt>
                <c:pt idx="30">
                  <c:v>2.3436458956113086</c:v>
                </c:pt>
                <c:pt idx="31">
                  <c:v>2.2747776371667023</c:v>
                </c:pt>
                <c:pt idx="32">
                  <c:v>2.4495114419780517</c:v>
                </c:pt>
                <c:pt idx="33">
                  <c:v>2.6864027173551017</c:v>
                </c:pt>
                <c:pt idx="34">
                  <c:v>3.0081105100614853</c:v>
                </c:pt>
                <c:pt idx="35">
                  <c:v>3.0443679658551024</c:v>
                </c:pt>
                <c:pt idx="36">
                  <c:v>3.4522359964251152</c:v>
                </c:pt>
                <c:pt idx="37">
                  <c:v>3.8873878529790726</c:v>
                </c:pt>
                <c:pt idx="38">
                  <c:v>4.3115083886542473</c:v>
                </c:pt>
                <c:pt idx="39">
                  <c:v>4.7826569193122523</c:v>
                </c:pt>
                <c:pt idx="40">
                  <c:v>5.3376886843024849</c:v>
                </c:pt>
                <c:pt idx="41">
                  <c:v>5.9121468624058613</c:v>
                </c:pt>
                <c:pt idx="42">
                  <c:v>6.5337199668243313</c:v>
                </c:pt>
                <c:pt idx="43">
                  <c:v>7.1967020196511529</c:v>
                </c:pt>
                <c:pt idx="44">
                  <c:v>8.0881161001649335</c:v>
                </c:pt>
                <c:pt idx="45">
                  <c:v>8.9823903211453402</c:v>
                </c:pt>
                <c:pt idx="46">
                  <c:v>9.7396926276063454</c:v>
                </c:pt>
                <c:pt idx="47">
                  <c:v>10.426737698484317</c:v>
                </c:pt>
                <c:pt idx="48">
                  <c:v>11.451400842770905</c:v>
                </c:pt>
                <c:pt idx="49">
                  <c:v>12.318523413676679</c:v>
                </c:pt>
                <c:pt idx="50">
                  <c:v>13.078244434822398</c:v>
                </c:pt>
                <c:pt idx="51">
                  <c:v>13.833950724711567</c:v>
                </c:pt>
                <c:pt idx="52">
                  <c:v>13.643683799182524</c:v>
                </c:pt>
                <c:pt idx="53">
                  <c:v>14.282204301180137</c:v>
                </c:pt>
                <c:pt idx="54">
                  <c:v>18.187815277577023</c:v>
                </c:pt>
                <c:pt idx="55">
                  <c:v>20.053860451386548</c:v>
                </c:pt>
                <c:pt idx="56">
                  <c:v>21.700340303304184</c:v>
                </c:pt>
                <c:pt idx="57">
                  <c:v>24.497201782565259</c:v>
                </c:pt>
                <c:pt idx="58">
                  <c:v>26.117695593031396</c:v>
                </c:pt>
                <c:pt idx="59">
                  <c:v>28.77560120870179</c:v>
                </c:pt>
                <c:pt idx="60">
                  <c:v>32.084119379481514</c:v>
                </c:pt>
                <c:pt idx="61">
                  <c:v>36.253297262483237</c:v>
                </c:pt>
                <c:pt idx="62">
                  <c:v>39.824318692035703</c:v>
                </c:pt>
                <c:pt idx="63">
                  <c:v>44.25657432400363</c:v>
                </c:pt>
                <c:pt idx="64">
                  <c:v>47.092910777307999</c:v>
                </c:pt>
                <c:pt idx="65">
                  <c:v>52.43455797822142</c:v>
                </c:pt>
                <c:pt idx="66">
                  <c:v>56.063411160227602</c:v>
                </c:pt>
                <c:pt idx="67">
                  <c:v>60.468436461525826</c:v>
                </c:pt>
                <c:pt idx="68">
                  <c:v>67.821306091046296</c:v>
                </c:pt>
                <c:pt idx="69">
                  <c:v>72.472078310214769</c:v>
                </c:pt>
                <c:pt idx="70">
                  <c:v>73.715563681596009</c:v>
                </c:pt>
                <c:pt idx="71">
                  <c:v>95.529142619790974</c:v>
                </c:pt>
                <c:pt idx="72">
                  <c:v>98.433127191133565</c:v>
                </c:pt>
                <c:pt idx="73">
                  <c:v>129.34818405997098</c:v>
                </c:pt>
                <c:pt idx="74">
                  <c:v>122.93303318487601</c:v>
                </c:pt>
                <c:pt idx="75">
                  <c:v>135.96318036137825</c:v>
                </c:pt>
                <c:pt idx="76">
                  <c:v>145.2867074135649</c:v>
                </c:pt>
                <c:pt idx="77">
                  <c:v>164.47804872320822</c:v>
                </c:pt>
                <c:pt idx="78">
                  <c:v>177.78456868348312</c:v>
                </c:pt>
                <c:pt idx="79">
                  <c:v>196.62864204310588</c:v>
                </c:pt>
                <c:pt idx="80">
                  <c:v>220.17573198828748</c:v>
                </c:pt>
                <c:pt idx="81">
                  <c:v>234.95246575225806</c:v>
                </c:pt>
                <c:pt idx="82">
                  <c:v>237.31131224849162</c:v>
                </c:pt>
                <c:pt idx="83">
                  <c:v>257.81340000034896</c:v>
                </c:pt>
                <c:pt idx="84">
                  <c:v>304.15230280936527</c:v>
                </c:pt>
                <c:pt idx="85">
                  <c:v>234.89338057991296</c:v>
                </c:pt>
                <c:pt idx="86">
                  <c:v>302.12395447616177</c:v>
                </c:pt>
                <c:pt idx="87">
                  <c:v>341.38351756495166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4D-4277-A342-6074A670AEB1}"/>
            </c:ext>
          </c:extLst>
        </c:ser>
        <c:ser>
          <c:idx val="3"/>
          <c:order val="3"/>
          <c:spPr>
            <a:ln w="12700">
              <a:solidFill>
                <a:srgbClr val="0000FF"/>
              </a:solidFill>
              <a:prstDash val="solid"/>
            </a:ln>
          </c:spPr>
          <c:marker>
            <c:symbol val="dot"/>
            <c:size val="5"/>
            <c:spPr>
              <a:noFill/>
              <a:ln>
                <a:solidFill>
                  <a:srgbClr val="0000FF"/>
                </a:solidFill>
                <a:prstDash val="solid"/>
              </a:ln>
            </c:spPr>
          </c:marker>
          <c:val>
            <c:numRef>
              <c:f>'Original String Scale'!$M$10:$M$97</c:f>
              <c:numCache>
                <c:formatCode>0%</c:formatCode>
                <c:ptCount val="88"/>
                <c:pt idx="0">
                  <c:v>0.24330270202407533</c:v>
                </c:pt>
                <c:pt idx="1">
                  <c:v>0.25514726113014896</c:v>
                </c:pt>
                <c:pt idx="2">
                  <c:v>0.27606353980231924</c:v>
                </c:pt>
                <c:pt idx="3">
                  <c:v>0.29537858181158155</c:v>
                </c:pt>
                <c:pt idx="4">
                  <c:v>0.31823267933663213</c:v>
                </c:pt>
                <c:pt idx="5">
                  <c:v>0.34229895257933479</c:v>
                </c:pt>
                <c:pt idx="6">
                  <c:v>0.37251237713959373</c:v>
                </c:pt>
                <c:pt idx="7">
                  <c:v>0.40324839832094755</c:v>
                </c:pt>
                <c:pt idx="8">
                  <c:v>0.44206445258568122</c:v>
                </c:pt>
                <c:pt idx="9">
                  <c:v>0.44043329725150493</c:v>
                </c:pt>
                <c:pt idx="10">
                  <c:v>0.44912966412855349</c:v>
                </c:pt>
                <c:pt idx="11">
                  <c:v>0.44739992358291714</c:v>
                </c:pt>
                <c:pt idx="12">
                  <c:v>0.45756632349128135</c:v>
                </c:pt>
                <c:pt idx="13">
                  <c:v>0.45818612113422347</c:v>
                </c:pt>
                <c:pt idx="14">
                  <c:v>0.46326148547304702</c:v>
                </c:pt>
                <c:pt idx="15">
                  <c:v>0.46155607161557377</c:v>
                </c:pt>
                <c:pt idx="16">
                  <c:v>0.47359752694613605</c:v>
                </c:pt>
                <c:pt idx="17">
                  <c:v>0.46351111170926723</c:v>
                </c:pt>
                <c:pt idx="18">
                  <c:v>0.4748885301732424</c:v>
                </c:pt>
                <c:pt idx="19">
                  <c:v>0.47054570490802516</c:v>
                </c:pt>
                <c:pt idx="20">
                  <c:v>0.57418385376713454</c:v>
                </c:pt>
                <c:pt idx="21">
                  <c:v>0.58112322306655484</c:v>
                </c:pt>
                <c:pt idx="22">
                  <c:v>0.58593476479734985</c:v>
                </c:pt>
                <c:pt idx="23">
                  <c:v>0.63663469051312016</c:v>
                </c:pt>
                <c:pt idx="24">
                  <c:v>0.65375046456411445</c:v>
                </c:pt>
                <c:pt idx="25">
                  <c:v>0.59407256265076136</c:v>
                </c:pt>
                <c:pt idx="26">
                  <c:v>0.30089538358349927</c:v>
                </c:pt>
                <c:pt idx="27">
                  <c:v>0.32248996567393406</c:v>
                </c:pt>
                <c:pt idx="28">
                  <c:v>0.34281240270354568</c:v>
                </c:pt>
                <c:pt idx="29">
                  <c:v>0.35855439135289102</c:v>
                </c:pt>
                <c:pt idx="30">
                  <c:v>0.36977190782274172</c:v>
                </c:pt>
                <c:pt idx="31">
                  <c:v>0.37915053239906243</c:v>
                </c:pt>
                <c:pt idx="32">
                  <c:v>0.38710362832221806</c:v>
                </c:pt>
                <c:pt idx="33">
                  <c:v>0.39162215430128633</c:v>
                </c:pt>
                <c:pt idx="34">
                  <c:v>0.39209540303648577</c:v>
                </c:pt>
                <c:pt idx="35">
                  <c:v>0.39278659310474445</c:v>
                </c:pt>
                <c:pt idx="36">
                  <c:v>0.39078764258390991</c:v>
                </c:pt>
                <c:pt idx="37">
                  <c:v>0.39016468429324214</c:v>
                </c:pt>
                <c:pt idx="38">
                  <c:v>0.39250763467017052</c:v>
                </c:pt>
                <c:pt idx="39">
                  <c:v>0.3948334559665565</c:v>
                </c:pt>
                <c:pt idx="40">
                  <c:v>0.39596588665511046</c:v>
                </c:pt>
                <c:pt idx="41">
                  <c:v>0.39860947560714149</c:v>
                </c:pt>
                <c:pt idx="42">
                  <c:v>0.40172216985813552</c:v>
                </c:pt>
                <c:pt idx="43">
                  <c:v>0.40553200109187376</c:v>
                </c:pt>
                <c:pt idx="44">
                  <c:v>0.40527893932637982</c:v>
                </c:pt>
                <c:pt idx="45">
                  <c:v>0.40744368933505826</c:v>
                </c:pt>
                <c:pt idx="46">
                  <c:v>0.41454985202754141</c:v>
                </c:pt>
                <c:pt idx="47">
                  <c:v>0.41359948425019966</c:v>
                </c:pt>
                <c:pt idx="48">
                  <c:v>0.41812943076811088</c:v>
                </c:pt>
                <c:pt idx="49">
                  <c:v>0.42711669957085863</c:v>
                </c:pt>
                <c:pt idx="50">
                  <c:v>0.43917436954582051</c:v>
                </c:pt>
                <c:pt idx="51">
                  <c:v>0.45240191264884572</c:v>
                </c:pt>
                <c:pt idx="52">
                  <c:v>0.46993271717727053</c:v>
                </c:pt>
                <c:pt idx="53">
                  <c:v>0.48661973441521328</c:v>
                </c:pt>
                <c:pt idx="54">
                  <c:v>0.45685975611336105</c:v>
                </c:pt>
                <c:pt idx="55">
                  <c:v>0.46095657033374476</c:v>
                </c:pt>
                <c:pt idx="56">
                  <c:v>0.46947402063305066</c:v>
                </c:pt>
                <c:pt idx="57">
                  <c:v>0.46813642053721755</c:v>
                </c:pt>
                <c:pt idx="58">
                  <c:v>0.46735818348591407</c:v>
                </c:pt>
                <c:pt idx="59">
                  <c:v>0.47172719006762376</c:v>
                </c:pt>
                <c:pt idx="60">
                  <c:v>0.47330804201310922</c:v>
                </c:pt>
                <c:pt idx="61">
                  <c:v>0.47173817480795815</c:v>
                </c:pt>
                <c:pt idx="62">
                  <c:v>0.47685510247415697</c:v>
                </c:pt>
                <c:pt idx="63">
                  <c:v>0.47924495216342283</c:v>
                </c:pt>
                <c:pt idx="64">
                  <c:v>0.47854199257349328</c:v>
                </c:pt>
                <c:pt idx="65">
                  <c:v>0.48047948380069611</c:v>
                </c:pt>
                <c:pt idx="66">
                  <c:v>0.49229987727879809</c:v>
                </c:pt>
                <c:pt idx="67">
                  <c:v>0.50221646900499495</c:v>
                </c:pt>
                <c:pt idx="68">
                  <c:v>0.5024097723778187</c:v>
                </c:pt>
                <c:pt idx="69">
                  <c:v>0.51492221390441129</c:v>
                </c:pt>
                <c:pt idx="70">
                  <c:v>0.52546536548442246</c:v>
                </c:pt>
                <c:pt idx="71">
                  <c:v>0.48903684894283239</c:v>
                </c:pt>
                <c:pt idx="72">
                  <c:v>0.51041651276265798</c:v>
                </c:pt>
                <c:pt idx="73">
                  <c:v>0.47173817480795827</c:v>
                </c:pt>
                <c:pt idx="74">
                  <c:v>0.49758553588036369</c:v>
                </c:pt>
                <c:pt idx="75">
                  <c:v>0.50127635750564636</c:v>
                </c:pt>
                <c:pt idx="76">
                  <c:v>0.51376057150145926</c:v>
                </c:pt>
                <c:pt idx="77">
                  <c:v>0.51157059405515348</c:v>
                </c:pt>
                <c:pt idx="78">
                  <c:v>0.50551539398441525</c:v>
                </c:pt>
                <c:pt idx="79">
                  <c:v>0.50926503502800002</c:v>
                </c:pt>
                <c:pt idx="80">
                  <c:v>0.50988044718244885</c:v>
                </c:pt>
                <c:pt idx="81">
                  <c:v>0.52293644702749553</c:v>
                </c:pt>
                <c:pt idx="82">
                  <c:v>0.53404425009508116</c:v>
                </c:pt>
                <c:pt idx="83">
                  <c:v>0.54283714004145422</c:v>
                </c:pt>
                <c:pt idx="84">
                  <c:v>0.52949586800652948</c:v>
                </c:pt>
                <c:pt idx="85">
                  <c:v>0.63834957515662472</c:v>
                </c:pt>
                <c:pt idx="86">
                  <c:v>0.59633076521684336</c:v>
                </c:pt>
                <c:pt idx="87">
                  <c:v>0.59435285647953462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8A4D-4277-A342-6074A670AEB1}"/>
            </c:ext>
          </c:extLst>
        </c:ser>
        <c:ser>
          <c:idx val="4"/>
          <c:order val="4"/>
          <c:spPr>
            <a:ln w="12700">
              <a:solidFill>
                <a:srgbClr val="800080"/>
              </a:solidFill>
              <a:prstDash val="solid"/>
            </a:ln>
          </c:spPr>
          <c:marker>
            <c:symbol val="none"/>
          </c:marker>
          <c:val>
            <c:numRef>
              <c:f>'Original String Scale'!$E$10:$E$97</c:f>
              <c:numCache>
                <c:formatCode>0.0</c:formatCode>
                <c:ptCount val="88"/>
                <c:pt idx="0">
                  <c:v>57.519685039370081</c:v>
                </c:pt>
                <c:pt idx="1">
                  <c:v>56.968503937007874</c:v>
                </c:pt>
                <c:pt idx="2">
                  <c:v>56.574803149606304</c:v>
                </c:pt>
                <c:pt idx="3">
                  <c:v>55.629921259842526</c:v>
                </c:pt>
                <c:pt idx="4">
                  <c:v>54.921259842519689</c:v>
                </c:pt>
                <c:pt idx="5">
                  <c:v>54.212598425196852</c:v>
                </c:pt>
                <c:pt idx="6">
                  <c:v>53.543307086614178</c:v>
                </c:pt>
                <c:pt idx="7">
                  <c:v>52.755905511811029</c:v>
                </c:pt>
                <c:pt idx="8">
                  <c:v>52.007874015748037</c:v>
                </c:pt>
                <c:pt idx="9">
                  <c:v>51.181102362204726</c:v>
                </c:pt>
                <c:pt idx="10">
                  <c:v>50.275590551181104</c:v>
                </c:pt>
                <c:pt idx="11">
                  <c:v>49.29133858267717</c:v>
                </c:pt>
                <c:pt idx="12">
                  <c:v>48.30708661417323</c:v>
                </c:pt>
                <c:pt idx="13">
                  <c:v>47.244094488188978</c:v>
                </c:pt>
                <c:pt idx="14">
                  <c:v>46.220472440944881</c:v>
                </c:pt>
                <c:pt idx="15">
                  <c:v>44.803149606299215</c:v>
                </c:pt>
                <c:pt idx="16">
                  <c:v>43.897637795275593</c:v>
                </c:pt>
                <c:pt idx="17">
                  <c:v>42.716535433070867</c:v>
                </c:pt>
                <c:pt idx="18">
                  <c:v>41.535433070866141</c:v>
                </c:pt>
                <c:pt idx="19">
                  <c:v>40.354330708661422</c:v>
                </c:pt>
                <c:pt idx="20">
                  <c:v>50.078740157480318</c:v>
                </c:pt>
                <c:pt idx="21">
                  <c:v>49.606299212598429</c:v>
                </c:pt>
                <c:pt idx="22">
                  <c:v>49.133858267716541</c:v>
                </c:pt>
                <c:pt idx="23">
                  <c:v>48.543307086614178</c:v>
                </c:pt>
                <c:pt idx="24">
                  <c:v>47.913385826771659</c:v>
                </c:pt>
                <c:pt idx="25">
                  <c:v>45.275590551181104</c:v>
                </c:pt>
                <c:pt idx="26">
                  <c:v>46.535433070866148</c:v>
                </c:pt>
                <c:pt idx="27">
                  <c:v>45.472440944881889</c:v>
                </c:pt>
                <c:pt idx="28">
                  <c:v>44.251968503937007</c:v>
                </c:pt>
                <c:pt idx="29">
                  <c:v>42.716535433070867</c:v>
                </c:pt>
                <c:pt idx="30">
                  <c:v>40.944881889763785</c:v>
                </c:pt>
                <c:pt idx="31">
                  <c:v>39.133858267716541</c:v>
                </c:pt>
                <c:pt idx="32">
                  <c:v>37.322834645669296</c:v>
                </c:pt>
                <c:pt idx="33">
                  <c:v>35.433070866141733</c:v>
                </c:pt>
                <c:pt idx="34">
                  <c:v>33.464566929133859</c:v>
                </c:pt>
                <c:pt idx="35">
                  <c:v>31.614173228346459</c:v>
                </c:pt>
                <c:pt idx="36">
                  <c:v>29.763779527559056</c:v>
                </c:pt>
                <c:pt idx="37">
                  <c:v>28.070866141732285</c:v>
                </c:pt>
                <c:pt idx="38">
                  <c:v>26.5748031496063</c:v>
                </c:pt>
                <c:pt idx="39">
                  <c:v>25.15748031496063</c:v>
                </c:pt>
                <c:pt idx="40">
                  <c:v>23.779527559055119</c:v>
                </c:pt>
                <c:pt idx="41">
                  <c:v>22.519685039370081</c:v>
                </c:pt>
                <c:pt idx="42">
                  <c:v>21.338582677165356</c:v>
                </c:pt>
                <c:pt idx="43">
                  <c:v>20.236220472440944</c:v>
                </c:pt>
                <c:pt idx="44">
                  <c:v>19.094488188976378</c:v>
                </c:pt>
                <c:pt idx="45">
                  <c:v>18.070866141732285</c:v>
                </c:pt>
                <c:pt idx="46">
                  <c:v>17.204724409448819</c:v>
                </c:pt>
                <c:pt idx="47">
                  <c:v>16.220472440944881</c:v>
                </c:pt>
                <c:pt idx="48">
                  <c:v>15.393700787401576</c:v>
                </c:pt>
                <c:pt idx="49">
                  <c:v>14.685039370078741</c:v>
                </c:pt>
                <c:pt idx="50">
                  <c:v>14.05511811023622</c:v>
                </c:pt>
                <c:pt idx="51">
                  <c:v>13.464566929133859</c:v>
                </c:pt>
                <c:pt idx="52">
                  <c:v>12.952755905511811</c:v>
                </c:pt>
                <c:pt idx="53">
                  <c:v>12.440944881889765</c:v>
                </c:pt>
                <c:pt idx="54">
                  <c:v>11.377952755905513</c:v>
                </c:pt>
                <c:pt idx="55">
                  <c:v>10.78740157480315</c:v>
                </c:pt>
                <c:pt idx="56">
                  <c:v>10.275590551181104</c:v>
                </c:pt>
                <c:pt idx="57">
                  <c:v>9.6850393700787407</c:v>
                </c:pt>
                <c:pt idx="58">
                  <c:v>9.1338582677165352</c:v>
                </c:pt>
                <c:pt idx="59">
                  <c:v>8.6614173228346463</c:v>
                </c:pt>
                <c:pt idx="60">
                  <c:v>8.1889763779527556</c:v>
                </c:pt>
                <c:pt idx="61">
                  <c:v>7.7165354330708666</c:v>
                </c:pt>
                <c:pt idx="62">
                  <c:v>7.3228346456692917</c:v>
                </c:pt>
                <c:pt idx="63">
                  <c:v>6.9291338582677167</c:v>
                </c:pt>
                <c:pt idx="64">
                  <c:v>6.5354330708661417</c:v>
                </c:pt>
                <c:pt idx="65">
                  <c:v>6.181102362204725</c:v>
                </c:pt>
                <c:pt idx="66">
                  <c:v>5.9055118110236222</c:v>
                </c:pt>
                <c:pt idx="67">
                  <c:v>5.6299212598425203</c:v>
                </c:pt>
                <c:pt idx="68">
                  <c:v>5.3149606299212602</c:v>
                </c:pt>
                <c:pt idx="69">
                  <c:v>5.0787401574803148</c:v>
                </c:pt>
                <c:pt idx="70">
                  <c:v>4.8425196850393704</c:v>
                </c:pt>
                <c:pt idx="71">
                  <c:v>4.409448818897638</c:v>
                </c:pt>
                <c:pt idx="72">
                  <c:v>4.2519685039370083</c:v>
                </c:pt>
                <c:pt idx="73">
                  <c:v>3.8582677165354333</c:v>
                </c:pt>
                <c:pt idx="74">
                  <c:v>3.7401574803149606</c:v>
                </c:pt>
                <c:pt idx="75">
                  <c:v>3.5433070866141736</c:v>
                </c:pt>
                <c:pt idx="76">
                  <c:v>3.3858267716535435</c:v>
                </c:pt>
                <c:pt idx="77">
                  <c:v>3.188976377952756</c:v>
                </c:pt>
                <c:pt idx="78">
                  <c:v>2.9921259842519685</c:v>
                </c:pt>
                <c:pt idx="79">
                  <c:v>2.8346456692913389</c:v>
                </c:pt>
                <c:pt idx="80">
                  <c:v>2.6771653543307088</c:v>
                </c:pt>
                <c:pt idx="81">
                  <c:v>2.5590551181102366</c:v>
                </c:pt>
                <c:pt idx="82">
                  <c:v>2.4409448818897639</c:v>
                </c:pt>
                <c:pt idx="83">
                  <c:v>2.3228346456692917</c:v>
                </c:pt>
                <c:pt idx="84">
                  <c:v>2.1653543307086616</c:v>
                </c:pt>
                <c:pt idx="85">
                  <c:v>2.2440944881889764</c:v>
                </c:pt>
                <c:pt idx="86">
                  <c:v>2.0472440944881889</c:v>
                </c:pt>
                <c:pt idx="87">
                  <c:v>1.9291338582677167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8A4D-4277-A342-6074A670AE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7766528"/>
        <c:axId val="127768448"/>
      </c:lineChart>
      <c:catAx>
        <c:axId val="127750144"/>
        <c:scaling>
          <c:orientation val="minMax"/>
        </c:scaling>
        <c:delete val="0"/>
        <c:axPos val="b"/>
        <c:minorGridlines>
          <c:spPr>
            <a:ln w="12700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Note Number</a:t>
                </a:r>
              </a:p>
            </c:rich>
          </c:tx>
          <c:layout>
            <c:manualLayout>
              <c:xMode val="edge"/>
              <c:yMode val="edge"/>
              <c:x val="3.2359355948813256E-2"/>
              <c:y val="0.8832762806057685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752064"/>
        <c:crosses val="autoZero"/>
        <c:auto val="1"/>
        <c:lblAlgn val="ctr"/>
        <c:lblOffset val="100"/>
        <c:tickLblSkip val="10"/>
        <c:tickMarkSkip val="10"/>
        <c:noMultiLvlLbl val="0"/>
      </c:catAx>
      <c:valAx>
        <c:axId val="127752064"/>
        <c:scaling>
          <c:logBase val="10"/>
          <c:orientation val="minMax"/>
          <c:max val="1000"/>
          <c:min val="100"/>
        </c:scaling>
        <c:delete val="0"/>
        <c:axPos val="l"/>
        <c:minorGridlines>
          <c:spPr>
            <a:ln w="12700">
              <a:solidFill>
                <a:srgbClr val="C0C0C0"/>
              </a:solidFill>
              <a:prstDash val="solid"/>
            </a:ln>
          </c:spPr>
        </c:minorGridlines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Tension</a:t>
                </a:r>
              </a:p>
            </c:rich>
          </c:tx>
          <c:layout>
            <c:manualLayout>
              <c:xMode val="edge"/>
              <c:yMode val="edge"/>
              <c:x val="8.4582827146606671E-2"/>
              <c:y val="0.47174457310483248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none"/>
        <c:minorTickMark val="none"/>
        <c:tickLblPos val="none"/>
        <c:spPr>
          <a:ln w="12700">
            <a:solidFill>
              <a:srgbClr val="C0C0C0"/>
            </a:solidFill>
            <a:prstDash val="solid"/>
          </a:ln>
        </c:spPr>
        <c:crossAx val="127750144"/>
        <c:crosses val="autoZero"/>
        <c:crossBetween val="between"/>
      </c:valAx>
      <c:catAx>
        <c:axId val="127766528"/>
        <c:scaling>
          <c:orientation val="minMax"/>
        </c:scaling>
        <c:delete val="1"/>
        <c:axPos val="b"/>
        <c:title>
          <c:tx>
            <c:rich>
              <a:bodyPr/>
              <a:lstStyle/>
              <a:p>
                <a:pPr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Inharmonicity</a:t>
                </a:r>
              </a:p>
            </c:rich>
          </c:tx>
          <c:layout>
            <c:manualLayout>
              <c:xMode val="edge"/>
              <c:yMode val="edge"/>
              <c:x val="0.33867626546681673"/>
              <c:y val="0.5846654932839277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crossAx val="127768448"/>
        <c:crossesAt val="100"/>
        <c:auto val="1"/>
        <c:lblAlgn val="ctr"/>
        <c:lblOffset val="100"/>
        <c:noMultiLvlLbl val="0"/>
      </c:catAx>
      <c:valAx>
        <c:axId val="127768448"/>
        <c:scaling>
          <c:logBase val="10"/>
          <c:orientation val="minMax"/>
          <c:max val="1000"/>
        </c:scaling>
        <c:delete val="0"/>
        <c:axPos val="r"/>
        <c:title>
          <c:tx>
            <c:rich>
              <a:bodyPr rot="0" vert="horz"/>
              <a:lstStyle/>
              <a:p>
                <a:pPr algn="ctr">
                  <a:defRPr sz="9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Impedance</a:t>
                </a:r>
              </a:p>
            </c:rich>
          </c:tx>
          <c:layout>
            <c:manualLayout>
              <c:xMode val="edge"/>
              <c:yMode val="edge"/>
              <c:x val="0.77139935655655534"/>
              <c:y val="0.65679494288566065"/>
            </c:manualLayout>
          </c:layout>
          <c:overlay val="0"/>
          <c:spPr>
            <a:noFill/>
            <a:ln w="25400">
              <a:noFill/>
            </a:ln>
          </c:spPr>
        </c:title>
        <c:numFmt formatCode="0.00" sourceLinked="1"/>
        <c:majorTickMark val="none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127766528"/>
        <c:crosses val="max"/>
        <c:crossBetween val="between"/>
      </c:valAx>
      <c:spPr>
        <a:solidFill>
          <a:srgbClr val="FFFFFF"/>
        </a:solidFill>
        <a:ln w="12700">
          <a:solidFill>
            <a:srgbClr val="C0C0C0"/>
          </a:solidFill>
          <a:prstDash val="solid"/>
        </a:ln>
      </c:spPr>
    </c:plotArea>
    <c:plotVisOnly val="1"/>
    <c:dispBlanksAs val="gap"/>
    <c:showDLblsOverMax val="0"/>
  </c:chart>
  <c:spPr>
    <a:solidFill>
      <a:srgbClr val="C0C0C0"/>
    </a:solidFill>
    <a:ln w="3175">
      <a:solidFill>
        <a:srgbClr val="000000"/>
      </a:solidFill>
      <a:prstDash val="solid"/>
    </a:ln>
  </c:spPr>
  <c:txPr>
    <a:bodyPr/>
    <a:lstStyle/>
    <a:p>
      <a:pPr>
        <a:defRPr sz="12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9298568917023"/>
          <c:y val="5.4474759920241186E-2"/>
          <c:w val="0.87052458694444479"/>
          <c:h val="0.78793849170348573"/>
        </c:manualLayout>
      </c:layout>
      <c:lineChart>
        <c:grouping val="standard"/>
        <c:varyColors val="0"/>
        <c:ser>
          <c:idx val="0"/>
          <c:order val="0"/>
          <c:tx>
            <c:v>Speaking Lengths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none"/>
          </c:marker>
          <c:val>
            <c:numRef>
              <c:f>'Original String Scale'!$D$10:$D$97</c:f>
              <c:numCache>
                <c:formatCode>0.0</c:formatCode>
                <c:ptCount val="88"/>
                <c:pt idx="0">
                  <c:v>1461</c:v>
                </c:pt>
                <c:pt idx="1">
                  <c:v>1447</c:v>
                </c:pt>
                <c:pt idx="2">
                  <c:v>1437</c:v>
                </c:pt>
                <c:pt idx="3">
                  <c:v>1413</c:v>
                </c:pt>
                <c:pt idx="4">
                  <c:v>1395</c:v>
                </c:pt>
                <c:pt idx="5">
                  <c:v>1377</c:v>
                </c:pt>
                <c:pt idx="6">
                  <c:v>1360</c:v>
                </c:pt>
                <c:pt idx="7">
                  <c:v>1340</c:v>
                </c:pt>
                <c:pt idx="8">
                  <c:v>1321</c:v>
                </c:pt>
                <c:pt idx="9">
                  <c:v>1300</c:v>
                </c:pt>
                <c:pt idx="10">
                  <c:v>1277</c:v>
                </c:pt>
                <c:pt idx="11">
                  <c:v>1252</c:v>
                </c:pt>
                <c:pt idx="12">
                  <c:v>1227</c:v>
                </c:pt>
                <c:pt idx="13">
                  <c:v>1200</c:v>
                </c:pt>
                <c:pt idx="14">
                  <c:v>1174</c:v>
                </c:pt>
                <c:pt idx="15">
                  <c:v>1138</c:v>
                </c:pt>
                <c:pt idx="16">
                  <c:v>1115</c:v>
                </c:pt>
                <c:pt idx="17">
                  <c:v>1085</c:v>
                </c:pt>
                <c:pt idx="18">
                  <c:v>1055</c:v>
                </c:pt>
                <c:pt idx="19">
                  <c:v>1025</c:v>
                </c:pt>
                <c:pt idx="20">
                  <c:v>1272</c:v>
                </c:pt>
                <c:pt idx="21">
                  <c:v>1260</c:v>
                </c:pt>
                <c:pt idx="22">
                  <c:v>1248</c:v>
                </c:pt>
                <c:pt idx="23">
                  <c:v>1233</c:v>
                </c:pt>
                <c:pt idx="24">
                  <c:v>1217</c:v>
                </c:pt>
                <c:pt idx="25" formatCode="0">
                  <c:v>1150</c:v>
                </c:pt>
                <c:pt idx="26" formatCode="0">
                  <c:v>1182</c:v>
                </c:pt>
                <c:pt idx="27" formatCode="0">
                  <c:v>1155</c:v>
                </c:pt>
                <c:pt idx="28" formatCode="0">
                  <c:v>1124</c:v>
                </c:pt>
                <c:pt idx="29" formatCode="0">
                  <c:v>1085</c:v>
                </c:pt>
                <c:pt idx="30" formatCode="0">
                  <c:v>1040</c:v>
                </c:pt>
                <c:pt idx="31" formatCode="0">
                  <c:v>994</c:v>
                </c:pt>
                <c:pt idx="32" formatCode="0">
                  <c:v>948</c:v>
                </c:pt>
                <c:pt idx="33" formatCode="0">
                  <c:v>900</c:v>
                </c:pt>
                <c:pt idx="34" formatCode="0">
                  <c:v>850</c:v>
                </c:pt>
                <c:pt idx="35" formatCode="0">
                  <c:v>803</c:v>
                </c:pt>
                <c:pt idx="36" formatCode="0">
                  <c:v>756</c:v>
                </c:pt>
                <c:pt idx="37" formatCode="0">
                  <c:v>713</c:v>
                </c:pt>
                <c:pt idx="38" formatCode="0">
                  <c:v>675</c:v>
                </c:pt>
                <c:pt idx="39" formatCode="0">
                  <c:v>639</c:v>
                </c:pt>
                <c:pt idx="40" formatCode="0">
                  <c:v>604</c:v>
                </c:pt>
                <c:pt idx="41" formatCode="0">
                  <c:v>572</c:v>
                </c:pt>
                <c:pt idx="42" formatCode="0">
                  <c:v>542</c:v>
                </c:pt>
                <c:pt idx="43" formatCode="0">
                  <c:v>514</c:v>
                </c:pt>
                <c:pt idx="44" formatCode="0">
                  <c:v>485</c:v>
                </c:pt>
                <c:pt idx="45" formatCode="0">
                  <c:v>459</c:v>
                </c:pt>
                <c:pt idx="46" formatCode="0">
                  <c:v>437</c:v>
                </c:pt>
                <c:pt idx="47" formatCode="0">
                  <c:v>412</c:v>
                </c:pt>
                <c:pt idx="48" formatCode="0">
                  <c:v>391</c:v>
                </c:pt>
                <c:pt idx="49" formatCode="0">
                  <c:v>373</c:v>
                </c:pt>
                <c:pt idx="50" formatCode="0">
                  <c:v>357</c:v>
                </c:pt>
                <c:pt idx="51" formatCode="0">
                  <c:v>342</c:v>
                </c:pt>
                <c:pt idx="52" formatCode="0">
                  <c:v>329</c:v>
                </c:pt>
                <c:pt idx="53" formatCode="0">
                  <c:v>316</c:v>
                </c:pt>
                <c:pt idx="54" formatCode="0">
                  <c:v>289</c:v>
                </c:pt>
                <c:pt idx="55" formatCode="0">
                  <c:v>274</c:v>
                </c:pt>
                <c:pt idx="56" formatCode="0">
                  <c:v>261</c:v>
                </c:pt>
                <c:pt idx="57" formatCode="0">
                  <c:v>246</c:v>
                </c:pt>
                <c:pt idx="58" formatCode="0">
                  <c:v>232</c:v>
                </c:pt>
                <c:pt idx="59" formatCode="0">
                  <c:v>220</c:v>
                </c:pt>
                <c:pt idx="60" formatCode="0">
                  <c:v>208</c:v>
                </c:pt>
                <c:pt idx="61" formatCode="0">
                  <c:v>196</c:v>
                </c:pt>
                <c:pt idx="62" formatCode="0">
                  <c:v>186</c:v>
                </c:pt>
                <c:pt idx="63" formatCode="0">
                  <c:v>176</c:v>
                </c:pt>
                <c:pt idx="64" formatCode="0">
                  <c:v>166</c:v>
                </c:pt>
                <c:pt idx="65" formatCode="0">
                  <c:v>157</c:v>
                </c:pt>
                <c:pt idx="66" formatCode="0">
                  <c:v>150</c:v>
                </c:pt>
                <c:pt idx="67" formatCode="0">
                  <c:v>143</c:v>
                </c:pt>
                <c:pt idx="68" formatCode="0">
                  <c:v>135</c:v>
                </c:pt>
                <c:pt idx="69" formatCode="0">
                  <c:v>129</c:v>
                </c:pt>
                <c:pt idx="70" formatCode="0">
                  <c:v>123</c:v>
                </c:pt>
                <c:pt idx="71" formatCode="0">
                  <c:v>112</c:v>
                </c:pt>
                <c:pt idx="72" formatCode="0">
                  <c:v>108</c:v>
                </c:pt>
                <c:pt idx="73" formatCode="0">
                  <c:v>98</c:v>
                </c:pt>
                <c:pt idx="74" formatCode="0">
                  <c:v>95</c:v>
                </c:pt>
                <c:pt idx="75" formatCode="0">
                  <c:v>90</c:v>
                </c:pt>
                <c:pt idx="76" formatCode="0">
                  <c:v>86</c:v>
                </c:pt>
                <c:pt idx="77" formatCode="0">
                  <c:v>81</c:v>
                </c:pt>
                <c:pt idx="78" formatCode="0">
                  <c:v>76</c:v>
                </c:pt>
                <c:pt idx="79" formatCode="0">
                  <c:v>72</c:v>
                </c:pt>
                <c:pt idx="80" formatCode="0">
                  <c:v>68</c:v>
                </c:pt>
                <c:pt idx="81" formatCode="0">
                  <c:v>65</c:v>
                </c:pt>
                <c:pt idx="82" formatCode="0">
                  <c:v>62</c:v>
                </c:pt>
                <c:pt idx="83" formatCode="0">
                  <c:v>59</c:v>
                </c:pt>
                <c:pt idx="84" formatCode="0">
                  <c:v>55</c:v>
                </c:pt>
                <c:pt idx="85" formatCode="0">
                  <c:v>57</c:v>
                </c:pt>
                <c:pt idx="86" formatCode="0">
                  <c:v>52</c:v>
                </c:pt>
                <c:pt idx="87" formatCode="0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F24-462A-8055-49D8A9C25AB2}"/>
            </c:ext>
          </c:extLst>
        </c:ser>
        <c:ser>
          <c:idx val="1"/>
          <c:order val="1"/>
          <c:spPr>
            <a:ln w="12700">
              <a:solidFill>
                <a:srgbClr val="FF00FF"/>
              </a:solidFill>
              <a:prstDash val="solid"/>
            </a:ln>
          </c:spPr>
          <c:marker>
            <c:symbol val="none"/>
          </c:marker>
          <c:val>
            <c:numRef>
              <c:f>'Original String Scale'!$C$10:$C$97</c:f>
              <c:numCache>
                <c:formatCode>0.0</c:formatCode>
                <c:ptCount val="88"/>
                <c:pt idx="0">
                  <c:v>1461</c:v>
                </c:pt>
                <c:pt idx="1">
                  <c:v>1447</c:v>
                </c:pt>
                <c:pt idx="2">
                  <c:v>1437</c:v>
                </c:pt>
                <c:pt idx="3">
                  <c:v>1413</c:v>
                </c:pt>
                <c:pt idx="4">
                  <c:v>1395</c:v>
                </c:pt>
                <c:pt idx="5">
                  <c:v>1377</c:v>
                </c:pt>
                <c:pt idx="6">
                  <c:v>1360</c:v>
                </c:pt>
                <c:pt idx="7">
                  <c:v>1340</c:v>
                </c:pt>
                <c:pt idx="8">
                  <c:v>1321</c:v>
                </c:pt>
                <c:pt idx="9">
                  <c:v>1300</c:v>
                </c:pt>
                <c:pt idx="10">
                  <c:v>1277</c:v>
                </c:pt>
                <c:pt idx="11">
                  <c:v>1252</c:v>
                </c:pt>
                <c:pt idx="12">
                  <c:v>1227</c:v>
                </c:pt>
                <c:pt idx="13">
                  <c:v>1200</c:v>
                </c:pt>
                <c:pt idx="14">
                  <c:v>1174</c:v>
                </c:pt>
                <c:pt idx="15">
                  <c:v>1138</c:v>
                </c:pt>
                <c:pt idx="16">
                  <c:v>1115</c:v>
                </c:pt>
                <c:pt idx="17">
                  <c:v>1085</c:v>
                </c:pt>
                <c:pt idx="18">
                  <c:v>1055</c:v>
                </c:pt>
                <c:pt idx="19">
                  <c:v>1025</c:v>
                </c:pt>
                <c:pt idx="20">
                  <c:v>1205</c:v>
                </c:pt>
                <c:pt idx="21">
                  <c:v>1196</c:v>
                </c:pt>
                <c:pt idx="22">
                  <c:v>1186</c:v>
                </c:pt>
                <c:pt idx="23">
                  <c:v>1175</c:v>
                </c:pt>
                <c:pt idx="24">
                  <c:v>1163</c:v>
                </c:pt>
                <c:pt idx="25">
                  <c:v>1150</c:v>
                </c:pt>
                <c:pt idx="26">
                  <c:v>1182</c:v>
                </c:pt>
                <c:pt idx="27">
                  <c:v>1155</c:v>
                </c:pt>
                <c:pt idx="28">
                  <c:v>1124</c:v>
                </c:pt>
                <c:pt idx="29">
                  <c:v>1085</c:v>
                </c:pt>
                <c:pt idx="30">
                  <c:v>1040</c:v>
                </c:pt>
                <c:pt idx="31">
                  <c:v>994</c:v>
                </c:pt>
                <c:pt idx="32">
                  <c:v>948</c:v>
                </c:pt>
                <c:pt idx="33">
                  <c:v>900</c:v>
                </c:pt>
                <c:pt idx="34">
                  <c:v>850</c:v>
                </c:pt>
                <c:pt idx="35">
                  <c:v>803</c:v>
                </c:pt>
                <c:pt idx="36">
                  <c:v>756</c:v>
                </c:pt>
                <c:pt idx="37">
                  <c:v>713</c:v>
                </c:pt>
                <c:pt idx="38">
                  <c:v>675</c:v>
                </c:pt>
                <c:pt idx="39">
                  <c:v>639</c:v>
                </c:pt>
                <c:pt idx="40">
                  <c:v>604</c:v>
                </c:pt>
                <c:pt idx="41">
                  <c:v>572</c:v>
                </c:pt>
                <c:pt idx="42">
                  <c:v>542</c:v>
                </c:pt>
                <c:pt idx="43">
                  <c:v>514</c:v>
                </c:pt>
                <c:pt idx="44">
                  <c:v>485</c:v>
                </c:pt>
                <c:pt idx="45">
                  <c:v>459</c:v>
                </c:pt>
                <c:pt idx="46">
                  <c:v>437</c:v>
                </c:pt>
                <c:pt idx="47">
                  <c:v>412</c:v>
                </c:pt>
                <c:pt idx="48">
                  <c:v>391</c:v>
                </c:pt>
                <c:pt idx="49">
                  <c:v>373</c:v>
                </c:pt>
                <c:pt idx="50">
                  <c:v>357</c:v>
                </c:pt>
                <c:pt idx="51" formatCode="0">
                  <c:v>342</c:v>
                </c:pt>
                <c:pt idx="52" formatCode="0">
                  <c:v>329</c:v>
                </c:pt>
                <c:pt idx="53" formatCode="0">
                  <c:v>316</c:v>
                </c:pt>
                <c:pt idx="54" formatCode="0">
                  <c:v>289</c:v>
                </c:pt>
                <c:pt idx="55" formatCode="0">
                  <c:v>274</c:v>
                </c:pt>
                <c:pt idx="56" formatCode="0">
                  <c:v>261</c:v>
                </c:pt>
                <c:pt idx="57" formatCode="0">
                  <c:v>246</c:v>
                </c:pt>
                <c:pt idx="58" formatCode="0">
                  <c:v>232</c:v>
                </c:pt>
                <c:pt idx="59" formatCode="0">
                  <c:v>220</c:v>
                </c:pt>
                <c:pt idx="60" formatCode="0">
                  <c:v>208</c:v>
                </c:pt>
                <c:pt idx="61" formatCode="0">
                  <c:v>196</c:v>
                </c:pt>
                <c:pt idx="62" formatCode="0">
                  <c:v>186</c:v>
                </c:pt>
                <c:pt idx="63" formatCode="0">
                  <c:v>176</c:v>
                </c:pt>
                <c:pt idx="64" formatCode="0">
                  <c:v>166</c:v>
                </c:pt>
                <c:pt idx="65" formatCode="0">
                  <c:v>157</c:v>
                </c:pt>
                <c:pt idx="66" formatCode="0">
                  <c:v>150</c:v>
                </c:pt>
                <c:pt idx="67" formatCode="0">
                  <c:v>143</c:v>
                </c:pt>
                <c:pt idx="68" formatCode="0">
                  <c:v>135</c:v>
                </c:pt>
                <c:pt idx="69" formatCode="0">
                  <c:v>129</c:v>
                </c:pt>
                <c:pt idx="70" formatCode="0">
                  <c:v>123</c:v>
                </c:pt>
                <c:pt idx="71" formatCode="0">
                  <c:v>112</c:v>
                </c:pt>
                <c:pt idx="72" formatCode="0">
                  <c:v>108</c:v>
                </c:pt>
                <c:pt idx="73" formatCode="0">
                  <c:v>98</c:v>
                </c:pt>
                <c:pt idx="74" formatCode="0">
                  <c:v>95</c:v>
                </c:pt>
                <c:pt idx="75" formatCode="0">
                  <c:v>90</c:v>
                </c:pt>
                <c:pt idx="76" formatCode="0">
                  <c:v>86</c:v>
                </c:pt>
                <c:pt idx="77" formatCode="0">
                  <c:v>81</c:v>
                </c:pt>
                <c:pt idx="78" formatCode="0">
                  <c:v>76</c:v>
                </c:pt>
                <c:pt idx="79" formatCode="0">
                  <c:v>72</c:v>
                </c:pt>
                <c:pt idx="80" formatCode="0">
                  <c:v>68</c:v>
                </c:pt>
                <c:pt idx="81" formatCode="0">
                  <c:v>65</c:v>
                </c:pt>
                <c:pt idx="82" formatCode="0">
                  <c:v>62</c:v>
                </c:pt>
                <c:pt idx="83" formatCode="0">
                  <c:v>59</c:v>
                </c:pt>
                <c:pt idx="84" formatCode="0">
                  <c:v>55</c:v>
                </c:pt>
                <c:pt idx="85" formatCode="0">
                  <c:v>57</c:v>
                </c:pt>
                <c:pt idx="86" formatCode="0">
                  <c:v>52</c:v>
                </c:pt>
                <c:pt idx="87" formatCode="0">
                  <c:v>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F24-462A-8055-49D8A9C25A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27794176"/>
        <c:axId val="95429376"/>
      </c:lineChart>
      <c:catAx>
        <c:axId val="127794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5429376"/>
        <c:crosses val="autoZero"/>
        <c:auto val="1"/>
        <c:lblAlgn val="ctr"/>
        <c:lblOffset val="100"/>
        <c:tickLblSkip val="4"/>
        <c:tickMarkSkip val="1"/>
        <c:noMultiLvlLbl val="0"/>
      </c:catAx>
      <c:valAx>
        <c:axId val="9542937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2779417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36225935752596145"/>
          <c:y val="0.93385295709631622"/>
          <c:w val="0.36639164669633867"/>
          <c:h val="5.2529182879374692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25</xdr:col>
      <xdr:colOff>371475</xdr:colOff>
      <xdr:row>0</xdr:row>
      <xdr:rowOff>0</xdr:rowOff>
    </xdr:from>
    <xdr:to>
      <xdr:col>36</xdr:col>
      <xdr:colOff>438150</xdr:colOff>
      <xdr:row>17</xdr:row>
      <xdr:rowOff>85725</xdr:rowOff>
    </xdr:to>
    <xdr:graphicFrame macro="">
      <xdr:nvGraphicFramePr>
        <xdr:cNvPr id="8519589" name="Chart 1">
          <a:extLst>
            <a:ext uri="{FF2B5EF4-FFF2-40B4-BE49-F238E27FC236}">
              <a16:creationId xmlns:a16="http://schemas.microsoft.com/office/drawing/2014/main" id="{00000000-0008-0000-0000-0000A5FF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95250</xdr:colOff>
      <xdr:row>128</xdr:row>
      <xdr:rowOff>57150</xdr:rowOff>
    </xdr:from>
    <xdr:to>
      <xdr:col>21</xdr:col>
      <xdr:colOff>123825</xdr:colOff>
      <xdr:row>158</xdr:row>
      <xdr:rowOff>95250</xdr:rowOff>
    </xdr:to>
    <xdr:graphicFrame macro="">
      <xdr:nvGraphicFramePr>
        <xdr:cNvPr id="8519590" name="Chart 2">
          <a:extLst>
            <a:ext uri="{FF2B5EF4-FFF2-40B4-BE49-F238E27FC236}">
              <a16:creationId xmlns:a16="http://schemas.microsoft.com/office/drawing/2014/main" id="{00000000-0008-0000-0000-0000A6FF81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avid%20%20Love/My%20Documents/Rib%20Height%20Calculator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David%20%20Love/My%20Documents/experiment%20with%20Rib%20Height%20Calculator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D7">
            <v>20.023148174939067</v>
          </cell>
        </row>
        <row r="8">
          <cell r="D8">
            <v>20.092593021266733</v>
          </cell>
        </row>
        <row r="9">
          <cell r="D9">
            <v>20.208335503526733</v>
          </cell>
        </row>
        <row r="10">
          <cell r="D10">
            <v>20.370377229382562</v>
          </cell>
        </row>
        <row r="11">
          <cell r="D11">
            <v>20.578720449755799</v>
          </cell>
        </row>
        <row r="12">
          <cell r="D12">
            <v>20.833368059000765</v>
          </cell>
        </row>
        <row r="13">
          <cell r="D13">
            <v>21.134323595151535</v>
          </cell>
        </row>
        <row r="14">
          <cell r="D14">
            <v>21.481591240209124</v>
          </cell>
        </row>
        <row r="15">
          <cell r="D15">
            <v>21.875175820497255</v>
          </cell>
        </row>
        <row r="16">
          <cell r="D16">
            <v>22.315082807056676</v>
          </cell>
        </row>
      </sheetData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7">
          <cell r="F7">
            <v>20.552111617333519</v>
          </cell>
        </row>
        <row r="8">
          <cell r="F8">
            <v>22.637126434668676</v>
          </cell>
        </row>
        <row r="9">
          <cell r="F9">
            <v>24.359451238882571</v>
          </cell>
        </row>
        <row r="10">
          <cell r="F10">
            <v>24.769007430863638</v>
          </cell>
        </row>
        <row r="11">
          <cell r="F11">
            <v>24.102283798000862</v>
          </cell>
        </row>
        <row r="12">
          <cell r="F12">
            <v>22.918865350934382</v>
          </cell>
        </row>
        <row r="13">
          <cell r="F13">
            <v>22.166966240172066</v>
          </cell>
        </row>
        <row r="14">
          <cell r="F14">
            <v>21.389854407531185</v>
          </cell>
        </row>
        <row r="15">
          <cell r="F15">
            <v>20.52595227662664</v>
          </cell>
        </row>
        <row r="16">
          <cell r="F16">
            <v>19.489826811442974</v>
          </cell>
        </row>
        <row r="17">
          <cell r="F17">
            <v>18.31690316955795</v>
          </cell>
        </row>
        <row r="18">
          <cell r="F18">
            <v>17.181483128293802</v>
          </cell>
        </row>
        <row r="19">
          <cell r="F19" t="e">
            <v>#DIV/0!</v>
          </cell>
        </row>
        <row r="20">
          <cell r="F20" t="e">
            <v>#DIV/0!</v>
          </cell>
        </row>
        <row r="21">
          <cell r="F21" t="e">
            <v>#DIV/0!</v>
          </cell>
        </row>
        <row r="22">
          <cell r="F22" t="e">
            <v>#DIV/0!</v>
          </cell>
        </row>
        <row r="23">
          <cell r="F23" t="e">
            <v>#DIV/0!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W98"/>
  <sheetViews>
    <sheetView tabSelected="1" zoomScale="80" zoomScaleNormal="80" workbookViewId="0">
      <selection activeCell="Y25" sqref="Y25:Z30"/>
    </sheetView>
  </sheetViews>
  <sheetFormatPr defaultRowHeight="13.2" x14ac:dyDescent="0.25"/>
  <cols>
    <col min="1" max="1" width="9.44140625" customWidth="1"/>
    <col min="2" max="2" width="5.6640625" customWidth="1"/>
    <col min="3" max="3" width="7.33203125" style="48" customWidth="1"/>
    <col min="4" max="4" width="7" style="48" customWidth="1"/>
    <col min="5" max="5" width="5.44140625" customWidth="1"/>
    <col min="6" max="6" width="6" customWidth="1"/>
    <col min="7" max="7" width="5.33203125" customWidth="1"/>
    <col min="8" max="8" width="6" customWidth="1"/>
    <col min="9" max="9" width="4.6640625" customWidth="1"/>
    <col min="10" max="10" width="10" customWidth="1"/>
    <col min="11" max="11" width="5.44140625" customWidth="1"/>
    <col min="12" max="12" width="7.109375" customWidth="1"/>
    <col min="13" max="13" width="6.109375" customWidth="1"/>
    <col min="14" max="16" width="9.109375" hidden="1" customWidth="1"/>
    <col min="17" max="17" width="8" customWidth="1"/>
    <col min="18" max="18" width="9" customWidth="1"/>
    <col min="19" max="19" width="7.6640625" customWidth="1"/>
    <col min="20" max="21" width="8.44140625" customWidth="1"/>
    <col min="23" max="23" width="6.33203125" customWidth="1"/>
    <col min="24" max="24" width="6.44140625" customWidth="1"/>
    <col min="25" max="25" width="9.44140625" customWidth="1"/>
    <col min="26" max="26" width="7.33203125" customWidth="1"/>
  </cols>
  <sheetData>
    <row r="1" spans="1:49" ht="17.399999999999999" x14ac:dyDescent="0.3">
      <c r="A1" s="34" t="s">
        <v>135</v>
      </c>
      <c r="B1" s="34"/>
      <c r="C1" s="55"/>
      <c r="D1" s="55"/>
    </row>
    <row r="3" spans="1:49" ht="15.6" x14ac:dyDescent="0.3">
      <c r="A3" s="28" t="s">
        <v>125</v>
      </c>
      <c r="B3" s="35"/>
      <c r="C3" s="56"/>
      <c r="D3" s="56"/>
    </row>
    <row r="5" spans="1:49" ht="13.8" thickBot="1" x14ac:dyDescent="0.3">
      <c r="K5" s="33"/>
    </row>
    <row r="6" spans="1:49" x14ac:dyDescent="0.25">
      <c r="A6" s="31" t="s">
        <v>126</v>
      </c>
    </row>
    <row r="7" spans="1:49" ht="13.8" thickBot="1" x14ac:dyDescent="0.3">
      <c r="A7" s="32">
        <v>440</v>
      </c>
    </row>
    <row r="8" spans="1:49" s="3" customFormat="1" ht="93" customHeight="1" x14ac:dyDescent="0.25">
      <c r="A8" s="8"/>
      <c r="B8" s="9" t="s">
        <v>101</v>
      </c>
      <c r="C8" s="61" t="s">
        <v>134</v>
      </c>
      <c r="D8" s="57" t="s">
        <v>102</v>
      </c>
      <c r="E8" s="9" t="s">
        <v>103</v>
      </c>
      <c r="F8" s="43" t="s">
        <v>122</v>
      </c>
      <c r="G8" s="43" t="s">
        <v>123</v>
      </c>
      <c r="H8" s="9" t="s">
        <v>104</v>
      </c>
      <c r="I8" s="43" t="s">
        <v>105</v>
      </c>
      <c r="J8" s="9" t="s">
        <v>106</v>
      </c>
      <c r="K8" s="9" t="s">
        <v>107</v>
      </c>
      <c r="L8" s="9" t="s">
        <v>108</v>
      </c>
      <c r="M8" s="9" t="s">
        <v>112</v>
      </c>
      <c r="N8" s="9"/>
      <c r="O8" s="9"/>
      <c r="P8" s="9"/>
      <c r="Q8" s="9" t="s">
        <v>109</v>
      </c>
      <c r="R8" s="9" t="s">
        <v>110</v>
      </c>
      <c r="S8" s="9" t="s">
        <v>114</v>
      </c>
      <c r="T8" s="70" t="s">
        <v>111</v>
      </c>
      <c r="U8" s="9" t="s">
        <v>101</v>
      </c>
      <c r="V8" s="3" t="s">
        <v>128</v>
      </c>
      <c r="W8" s="3" t="s">
        <v>132</v>
      </c>
      <c r="X8" s="3" t="s">
        <v>131</v>
      </c>
      <c r="Y8" s="3" t="s">
        <v>124</v>
      </c>
      <c r="Z8" s="3" t="s">
        <v>133</v>
      </c>
    </row>
    <row r="9" spans="1:49" s="2" customFormat="1" ht="17.25" customHeight="1" x14ac:dyDescent="0.35">
      <c r="A9" s="10" t="s">
        <v>87</v>
      </c>
      <c r="B9" s="4" t="s">
        <v>95</v>
      </c>
      <c r="C9" s="62"/>
      <c r="D9" s="58" t="s">
        <v>96</v>
      </c>
      <c r="E9" s="4" t="s">
        <v>97</v>
      </c>
      <c r="F9" s="44" t="s">
        <v>98</v>
      </c>
      <c r="G9" s="44" t="s">
        <v>99</v>
      </c>
      <c r="H9" s="4" t="s">
        <v>88</v>
      </c>
      <c r="I9" s="44" t="s">
        <v>89</v>
      </c>
      <c r="J9" s="4" t="s">
        <v>90</v>
      </c>
      <c r="K9" s="4" t="s">
        <v>91</v>
      </c>
      <c r="L9" s="4" t="s">
        <v>118</v>
      </c>
      <c r="M9" s="4" t="s">
        <v>119</v>
      </c>
      <c r="N9" s="4" t="s">
        <v>92</v>
      </c>
      <c r="O9" s="4" t="s">
        <v>93</v>
      </c>
      <c r="P9" s="4" t="s">
        <v>94</v>
      </c>
      <c r="Q9" s="4" t="s">
        <v>120</v>
      </c>
      <c r="R9" s="4" t="s">
        <v>121</v>
      </c>
      <c r="S9" s="26" t="s">
        <v>113</v>
      </c>
      <c r="T9" s="66" t="s">
        <v>100</v>
      </c>
      <c r="U9" s="53" t="s">
        <v>95</v>
      </c>
      <c r="V9" s="50" t="s">
        <v>127</v>
      </c>
      <c r="W9" s="50" t="s">
        <v>129</v>
      </c>
      <c r="X9" s="50" t="s">
        <v>130</v>
      </c>
      <c r="Y9" s="1">
        <v>1</v>
      </c>
      <c r="Z9" s="51">
        <f>SUMIF(Ra,"1",Ul)</f>
        <v>36.147721629634212</v>
      </c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</row>
    <row r="10" spans="1:49" ht="12.9" customHeight="1" x14ac:dyDescent="0.25">
      <c r="A10" s="11" t="s">
        <v>0</v>
      </c>
      <c r="B10" s="12">
        <v>1</v>
      </c>
      <c r="C10" s="72">
        <v>1461</v>
      </c>
      <c r="D10" s="49">
        <v>1461</v>
      </c>
      <c r="E10" s="13">
        <f t="shared" ref="E10:E41" si="0">Lmm/25.4</f>
        <v>57.519685039370081</v>
      </c>
      <c r="F10" s="45">
        <v>63</v>
      </c>
      <c r="G10" s="45">
        <v>217</v>
      </c>
      <c r="H10" s="13">
        <f t="shared" ref="H10:H41" si="1">IF(Dc=0," ",(Dc-5)/2)</f>
        <v>29</v>
      </c>
      <c r="I10" s="45">
        <v>1</v>
      </c>
      <c r="J10" s="14">
        <v>89</v>
      </c>
      <c r="K10" s="14">
        <f t="shared" ref="K10:K41" si="2">IF(Lin=0,0,IF(WM&gt;0,((Freq*Lin*Dc)/20833)^2*(1+(WM*0.01)*(Dw^2/Dc^2-1)),((Freq*Lin*Dc)/20833)^2))</f>
        <v>244.12097767152272</v>
      </c>
      <c r="L10" s="14">
        <f t="shared" ref="L10:L41" si="3">IF(Lin=0,0,T*Ns)</f>
        <v>244.12097767152272</v>
      </c>
      <c r="M10" s="15">
        <f t="shared" ref="M10:M41" si="4">IF(Dc=0, 0,T/(0.2528*Dc^2))</f>
        <v>0.24330270202407533</v>
      </c>
      <c r="N10" s="16">
        <f t="shared" ref="N10:N41" si="5">IF(Dc=0,0,(333.8*Dc*0.001)^4/(T*Lin^2))</f>
        <v>0.24214161126533079</v>
      </c>
      <c r="O10" s="16">
        <f t="shared" ref="O10:O41" si="6" xml:space="preserve"> IF(WM=0,0,0.287*(((Dw*0.001)^2-(Dc*0.001)^2)/((Dw*0.001)^2+0.12*(Dc*0.001)^2))*(4*SIN(4*PI()*0.5/Lin)-SIN(16*PI()*0.5/Lin)))</f>
        <v>3.3570175989947712E-3</v>
      </c>
      <c r="P10" s="16">
        <f t="shared" ref="P10:P41" si="7" xml:space="preserve"> IF(Ns=1,(0.287*(((Dw*0.001)^2-(Dc*0.001)^2)/((Dw*0.001)^2+0.12*(Dc*0.001)^2))*(4*SIN(4*PI()*1/Lin)-SIN(16*PI()*1/Lin)-4*SIN(4*PI()*0.5/Lin) + SIN(16*PI()*0.5/Lin))),0)</f>
        <v>2.2692245123862965E-2</v>
      </c>
      <c r="Q10" s="17">
        <f t="shared" ref="Q10:Q41" si="8">IF(Dc=0,0,(Icore+Iend+Istep))</f>
        <v>0.26819087398818853</v>
      </c>
      <c r="R10" s="17">
        <f t="shared" ref="R10:R41" si="9">IF(Dc=0,0,Ic*(4^2))</f>
        <v>4.2910539838110164</v>
      </c>
      <c r="S10" s="14">
        <f t="shared" ref="S10:S41" si="10">IF(Dw=0,(Ns*Dc*0.001994*(T)^0.5)*100,((((Ns*(0.00876*PI()*(Dc/2000)^2*T)+(((Dw/2000)^2)-((Dc/2000)^2))*PI()*0.0065*(T*0.00316))^0.5*4120)+((Ns*((Dw*0.001994*0.89)+(Dc*0.001994*0.11))*(T)^0.5)*100))/2))</f>
        <v>481.96497847532822</v>
      </c>
      <c r="T10" s="67">
        <f t="shared" ref="T10:T41" si="11">(fork/16)*2^((Un-1)/12)</f>
        <v>27.5</v>
      </c>
      <c r="U10" s="12">
        <v>1</v>
      </c>
      <c r="V10">
        <v>0.5</v>
      </c>
      <c r="W10" s="30">
        <f t="shared" ref="W10:W41" si="12">SIN(RADIANS(V$10:V$65536))*Tu</f>
        <v>2.1303303775482938</v>
      </c>
      <c r="X10">
        <v>1</v>
      </c>
      <c r="Y10">
        <v>2</v>
      </c>
      <c r="Z10" s="51">
        <f>SUMIF(Ra,"2",Ul)</f>
        <v>49.464731572673294</v>
      </c>
    </row>
    <row r="11" spans="1:49" ht="12.9" customHeight="1" x14ac:dyDescent="0.25">
      <c r="A11" s="11" t="s">
        <v>1</v>
      </c>
      <c r="B11" s="12">
        <f t="shared" ref="B11:B42" si="13">B10+1</f>
        <v>2</v>
      </c>
      <c r="C11" s="72">
        <v>1447</v>
      </c>
      <c r="D11" s="49">
        <v>1447</v>
      </c>
      <c r="E11" s="13">
        <f t="shared" si="0"/>
        <v>56.968503937007874</v>
      </c>
      <c r="F11" s="45">
        <v>61</v>
      </c>
      <c r="G11" s="45">
        <v>205</v>
      </c>
      <c r="H11" s="13">
        <f t="shared" si="1"/>
        <v>28</v>
      </c>
      <c r="I11" s="45">
        <v>1</v>
      </c>
      <c r="J11" s="14">
        <v>89</v>
      </c>
      <c r="K11" s="14">
        <f t="shared" si="2"/>
        <v>240.00906795058393</v>
      </c>
      <c r="L11" s="14">
        <f t="shared" si="3"/>
        <v>240.00906795058393</v>
      </c>
      <c r="M11" s="15">
        <f t="shared" si="4"/>
        <v>0.25514726113014896</v>
      </c>
      <c r="N11" s="16">
        <f t="shared" si="5"/>
        <v>0.22068224328625205</v>
      </c>
      <c r="O11" s="16">
        <f t="shared" si="6"/>
        <v>3.436929049721349E-3</v>
      </c>
      <c r="P11" s="16">
        <f t="shared" si="7"/>
        <v>2.3216563178805775E-2</v>
      </c>
      <c r="Q11" s="17">
        <f t="shared" si="8"/>
        <v>0.24733573551477916</v>
      </c>
      <c r="R11" s="17">
        <f t="shared" si="9"/>
        <v>3.9573717682364666</v>
      </c>
      <c r="S11" s="14">
        <f t="shared" si="10"/>
        <v>455.58489676381134</v>
      </c>
      <c r="T11" s="67">
        <f t="shared" si="11"/>
        <v>29.13523509488062</v>
      </c>
      <c r="U11" s="12">
        <f t="shared" ref="U11:U74" si="14">U10+1</f>
        <v>2</v>
      </c>
      <c r="V11">
        <v>0.5</v>
      </c>
      <c r="W11" s="30">
        <f t="shared" si="12"/>
        <v>2.0944476514024126</v>
      </c>
      <c r="X11">
        <v>1</v>
      </c>
      <c r="Y11">
        <v>3</v>
      </c>
      <c r="Z11" s="51">
        <f>SUMIF(Ra,"3",Ul)</f>
        <v>55.895967700849283</v>
      </c>
    </row>
    <row r="12" spans="1:49" ht="12.9" customHeight="1" x14ac:dyDescent="0.25">
      <c r="A12" s="11" t="s">
        <v>2</v>
      </c>
      <c r="B12" s="12">
        <f t="shared" si="13"/>
        <v>3</v>
      </c>
      <c r="C12" s="72">
        <v>1437</v>
      </c>
      <c r="D12" s="49">
        <v>1437</v>
      </c>
      <c r="E12" s="13">
        <f t="shared" si="0"/>
        <v>56.574803149606304</v>
      </c>
      <c r="F12" s="45">
        <v>59</v>
      </c>
      <c r="G12" s="45">
        <v>196</v>
      </c>
      <c r="H12" s="13">
        <f t="shared" si="1"/>
        <v>27</v>
      </c>
      <c r="I12" s="45">
        <v>1</v>
      </c>
      <c r="J12" s="14">
        <v>89</v>
      </c>
      <c r="K12" s="14">
        <f t="shared" si="2"/>
        <v>242.93503162271361</v>
      </c>
      <c r="L12" s="14">
        <f t="shared" si="3"/>
        <v>242.93503162271361</v>
      </c>
      <c r="M12" s="15">
        <f t="shared" si="4"/>
        <v>0.27606353980231924</v>
      </c>
      <c r="N12" s="16">
        <f t="shared" si="5"/>
        <v>0.19347155739558894</v>
      </c>
      <c r="O12" s="16">
        <f t="shared" si="6"/>
        <v>3.4998425171346636E-3</v>
      </c>
      <c r="P12" s="16">
        <f t="shared" si="7"/>
        <v>2.3629728393290108E-2</v>
      </c>
      <c r="Q12" s="17">
        <f t="shared" si="8"/>
        <v>0.22060112830601372</v>
      </c>
      <c r="R12" s="17">
        <f t="shared" si="9"/>
        <v>3.5296180528962195</v>
      </c>
      <c r="S12" s="14">
        <f t="shared" si="10"/>
        <v>440.12705655777177</v>
      </c>
      <c r="T12" s="67">
        <f t="shared" si="11"/>
        <v>30.867706328507758</v>
      </c>
      <c r="U12" s="12">
        <f t="shared" si="14"/>
        <v>3</v>
      </c>
      <c r="V12">
        <v>0.5</v>
      </c>
      <c r="W12" s="30">
        <f t="shared" si="12"/>
        <v>2.1199811772542048</v>
      </c>
      <c r="X12">
        <v>1</v>
      </c>
      <c r="Y12">
        <v>4</v>
      </c>
      <c r="Z12" s="51">
        <f>SUMIF(Ra,"4",Ul)</f>
        <v>23.679966649152178</v>
      </c>
    </row>
    <row r="13" spans="1:49" ht="12.9" customHeight="1" x14ac:dyDescent="0.25">
      <c r="A13" s="11" t="s">
        <v>3</v>
      </c>
      <c r="B13" s="12">
        <f t="shared" si="13"/>
        <v>4</v>
      </c>
      <c r="C13" s="72">
        <v>1413</v>
      </c>
      <c r="D13" s="49">
        <v>1413</v>
      </c>
      <c r="E13" s="13">
        <f t="shared" si="0"/>
        <v>55.629921259842526</v>
      </c>
      <c r="F13" s="45">
        <v>57</v>
      </c>
      <c r="G13" s="45">
        <v>188</v>
      </c>
      <c r="H13" s="13">
        <f t="shared" si="1"/>
        <v>26</v>
      </c>
      <c r="I13" s="45">
        <v>1</v>
      </c>
      <c r="J13" s="14">
        <v>89</v>
      </c>
      <c r="K13" s="14">
        <f t="shared" si="2"/>
        <v>242.60837111091345</v>
      </c>
      <c r="L13" s="14">
        <f t="shared" si="3"/>
        <v>242.60837111091345</v>
      </c>
      <c r="M13" s="15">
        <f t="shared" si="4"/>
        <v>0.29537858181158155</v>
      </c>
      <c r="N13" s="16">
        <f t="shared" si="5"/>
        <v>0.17455089486798328</v>
      </c>
      <c r="O13" s="16">
        <f t="shared" si="6"/>
        <v>3.6740208813199069E-3</v>
      </c>
      <c r="P13" s="16">
        <f t="shared" si="7"/>
        <v>2.4774885348772452E-2</v>
      </c>
      <c r="Q13" s="17">
        <f t="shared" si="8"/>
        <v>0.20299980109807564</v>
      </c>
      <c r="R13" s="17">
        <f t="shared" si="9"/>
        <v>3.2479968175692102</v>
      </c>
      <c r="S13" s="14">
        <f t="shared" si="10"/>
        <v>423.01980787260857</v>
      </c>
      <c r="T13" s="67">
        <f t="shared" si="11"/>
        <v>32.703195662574828</v>
      </c>
      <c r="U13" s="12">
        <f t="shared" si="14"/>
        <v>4</v>
      </c>
      <c r="V13">
        <v>0.5</v>
      </c>
      <c r="W13" s="30">
        <f t="shared" si="12"/>
        <v>2.1171305627020636</v>
      </c>
      <c r="X13">
        <v>1</v>
      </c>
      <c r="Y13">
        <v>5</v>
      </c>
      <c r="Z13" s="51">
        <f>SUMIF(Ra,"5",Ul)</f>
        <v>30.30572032004666</v>
      </c>
    </row>
    <row r="14" spans="1:49" ht="12.9" customHeight="1" x14ac:dyDescent="0.25">
      <c r="A14" s="11" t="s">
        <v>4</v>
      </c>
      <c r="B14" s="12">
        <f t="shared" si="13"/>
        <v>5</v>
      </c>
      <c r="C14" s="72">
        <v>1395</v>
      </c>
      <c r="D14" s="49">
        <v>1395</v>
      </c>
      <c r="E14" s="13">
        <f t="shared" si="0"/>
        <v>54.921259842519689</v>
      </c>
      <c r="F14" s="45">
        <v>55</v>
      </c>
      <c r="G14" s="45">
        <v>180</v>
      </c>
      <c r="H14" s="13">
        <f t="shared" si="1"/>
        <v>25</v>
      </c>
      <c r="I14" s="45">
        <v>1</v>
      </c>
      <c r="J14" s="14">
        <v>89</v>
      </c>
      <c r="K14" s="14">
        <f t="shared" si="2"/>
        <v>243.35889454230934</v>
      </c>
      <c r="L14" s="14">
        <f t="shared" si="3"/>
        <v>243.35889454230934</v>
      </c>
      <c r="M14" s="15">
        <f t="shared" si="4"/>
        <v>0.31823267933663213</v>
      </c>
      <c r="N14" s="16">
        <f t="shared" si="5"/>
        <v>0.15476326432187323</v>
      </c>
      <c r="O14" s="16">
        <f t="shared" si="6"/>
        <v>3.8103076679407767E-3</v>
      </c>
      <c r="P14" s="16">
        <f t="shared" si="7"/>
        <v>2.5668847873902757E-2</v>
      </c>
      <c r="Q14" s="17">
        <f t="shared" si="8"/>
        <v>0.18424241986371676</v>
      </c>
      <c r="R14" s="17">
        <f t="shared" si="9"/>
        <v>2.9478787178194681</v>
      </c>
      <c r="S14" s="14">
        <f t="shared" si="10"/>
        <v>406.83660373777252</v>
      </c>
      <c r="T14" s="67">
        <f t="shared" si="11"/>
        <v>34.64782887210901</v>
      </c>
      <c r="U14" s="12">
        <f t="shared" si="14"/>
        <v>5</v>
      </c>
      <c r="V14">
        <v>0.5</v>
      </c>
      <c r="W14" s="30">
        <f t="shared" si="12"/>
        <v>2.1236800320685014</v>
      </c>
      <c r="X14">
        <v>1</v>
      </c>
      <c r="Y14">
        <v>6</v>
      </c>
      <c r="Z14" s="51">
        <f>SUMIF(Ra,"6",Ul)</f>
        <v>36.752222911805767</v>
      </c>
    </row>
    <row r="15" spans="1:49" ht="12.9" customHeight="1" x14ac:dyDescent="0.25">
      <c r="A15" s="11" t="s">
        <v>5</v>
      </c>
      <c r="B15" s="12">
        <f t="shared" si="13"/>
        <v>6</v>
      </c>
      <c r="C15" s="72">
        <v>1377</v>
      </c>
      <c r="D15" s="49">
        <v>1377</v>
      </c>
      <c r="E15" s="13">
        <f t="shared" si="0"/>
        <v>54.212598425196852</v>
      </c>
      <c r="F15" s="45">
        <v>53</v>
      </c>
      <c r="G15" s="45">
        <v>172</v>
      </c>
      <c r="H15" s="13">
        <f t="shared" si="1"/>
        <v>24</v>
      </c>
      <c r="I15" s="45">
        <v>1</v>
      </c>
      <c r="J15" s="14">
        <v>89</v>
      </c>
      <c r="K15" s="14">
        <f t="shared" si="2"/>
        <v>243.07168917066485</v>
      </c>
      <c r="L15" s="14">
        <f t="shared" si="3"/>
        <v>243.07168917066485</v>
      </c>
      <c r="M15" s="15">
        <f t="shared" si="4"/>
        <v>0.34229895257933479</v>
      </c>
      <c r="N15" s="16">
        <f t="shared" si="5"/>
        <v>0.13712416041012648</v>
      </c>
      <c r="O15" s="16">
        <f t="shared" si="6"/>
        <v>3.952861195286617E-3</v>
      </c>
      <c r="P15" s="16">
        <f t="shared" si="7"/>
        <v>2.6602187492107045E-2</v>
      </c>
      <c r="Q15" s="17">
        <f t="shared" si="8"/>
        <v>0.16767920909752015</v>
      </c>
      <c r="R15" s="17">
        <f t="shared" si="9"/>
        <v>2.6828673455603225</v>
      </c>
      <c r="S15" s="14">
        <f t="shared" si="10"/>
        <v>389.76961720976215</v>
      </c>
      <c r="T15" s="67">
        <f t="shared" si="11"/>
        <v>36.708095989675947</v>
      </c>
      <c r="U15" s="12">
        <f t="shared" si="14"/>
        <v>6</v>
      </c>
      <c r="V15">
        <v>0.5</v>
      </c>
      <c r="W15" s="30">
        <f t="shared" si="12"/>
        <v>2.1211737241975221</v>
      </c>
      <c r="X15">
        <v>1</v>
      </c>
      <c r="Y15">
        <v>7</v>
      </c>
      <c r="Z15" s="51">
        <f>SUMIF(Ra,"7",Ul)</f>
        <v>38.338542847081527</v>
      </c>
    </row>
    <row r="16" spans="1:49" ht="12.9" customHeight="1" x14ac:dyDescent="0.25">
      <c r="A16" s="11" t="s">
        <v>6</v>
      </c>
      <c r="B16" s="12">
        <f t="shared" si="13"/>
        <v>7</v>
      </c>
      <c r="C16" s="72">
        <v>1360</v>
      </c>
      <c r="D16" s="49">
        <v>1360</v>
      </c>
      <c r="E16" s="13">
        <f t="shared" si="0"/>
        <v>53.543307086614178</v>
      </c>
      <c r="F16" s="45">
        <v>51</v>
      </c>
      <c r="G16" s="45">
        <v>165</v>
      </c>
      <c r="H16" s="13">
        <f t="shared" si="1"/>
        <v>23</v>
      </c>
      <c r="I16" s="45">
        <v>1</v>
      </c>
      <c r="J16" s="14">
        <v>89</v>
      </c>
      <c r="K16" s="14">
        <f t="shared" si="2"/>
        <v>244.93910637525309</v>
      </c>
      <c r="L16" s="14">
        <f t="shared" si="3"/>
        <v>244.93910637525309</v>
      </c>
      <c r="M16" s="15">
        <f t="shared" si="4"/>
        <v>0.37251237713959373</v>
      </c>
      <c r="N16" s="16">
        <f t="shared" si="5"/>
        <v>0.1196072544012074</v>
      </c>
      <c r="O16" s="16">
        <f t="shared" si="6"/>
        <v>4.0988275407464669E-3</v>
      </c>
      <c r="P16" s="16">
        <f t="shared" si="7"/>
        <v>2.755707243207877E-2</v>
      </c>
      <c r="Q16" s="17">
        <f t="shared" si="8"/>
        <v>0.15126315437403262</v>
      </c>
      <c r="R16" s="17">
        <f t="shared" si="9"/>
        <v>2.4202104699845219</v>
      </c>
      <c r="S16" s="14">
        <f t="shared" si="10"/>
        <v>375.78159469642003</v>
      </c>
      <c r="T16" s="67">
        <f t="shared" si="11"/>
        <v>38.890872965260115</v>
      </c>
      <c r="U16" s="12">
        <f t="shared" si="14"/>
        <v>7</v>
      </c>
      <c r="V16">
        <v>0.5</v>
      </c>
      <c r="W16" s="30">
        <f t="shared" si="12"/>
        <v>2.1374698067236353</v>
      </c>
      <c r="X16">
        <v>1</v>
      </c>
      <c r="Y16">
        <v>8</v>
      </c>
      <c r="Z16" s="51">
        <f>SUMIF(Ra,"8",Ul)</f>
        <v>48.722775400492345</v>
      </c>
    </row>
    <row r="17" spans="1:26" ht="12.9" customHeight="1" x14ac:dyDescent="0.25">
      <c r="A17" s="12" t="s">
        <v>7</v>
      </c>
      <c r="B17" s="12">
        <f t="shared" si="13"/>
        <v>8</v>
      </c>
      <c r="C17" s="72">
        <v>1340</v>
      </c>
      <c r="D17" s="49">
        <v>1340</v>
      </c>
      <c r="E17" s="13">
        <f t="shared" si="0"/>
        <v>52.755905511811029</v>
      </c>
      <c r="F17" s="45">
        <v>49</v>
      </c>
      <c r="G17" s="45">
        <v>158</v>
      </c>
      <c r="H17" s="13">
        <f t="shared" si="1"/>
        <v>22</v>
      </c>
      <c r="I17" s="45">
        <v>1</v>
      </c>
      <c r="J17" s="14">
        <v>89</v>
      </c>
      <c r="K17" s="14">
        <f t="shared" si="2"/>
        <v>244.76080942438085</v>
      </c>
      <c r="L17" s="14">
        <f t="shared" si="3"/>
        <v>244.76080942438085</v>
      </c>
      <c r="M17" s="15">
        <f t="shared" si="4"/>
        <v>0.40324839832094755</v>
      </c>
      <c r="N17" s="16">
        <f t="shared" si="5"/>
        <v>0.10506198580393901</v>
      </c>
      <c r="O17" s="16">
        <f t="shared" si="6"/>
        <v>4.2802371469846537E-3</v>
      </c>
      <c r="P17" s="16">
        <f t="shared" si="7"/>
        <v>2.8741619493037315E-2</v>
      </c>
      <c r="Q17" s="17">
        <f t="shared" si="8"/>
        <v>0.13808384244396099</v>
      </c>
      <c r="R17" s="17">
        <f t="shared" si="9"/>
        <v>2.2093414791033759</v>
      </c>
      <c r="S17" s="14">
        <f t="shared" si="10"/>
        <v>360.1680933580966</v>
      </c>
      <c r="T17" s="67">
        <f t="shared" si="11"/>
        <v>41.20344461410874</v>
      </c>
      <c r="U17" s="12">
        <f t="shared" si="14"/>
        <v>8</v>
      </c>
      <c r="V17">
        <v>0.5</v>
      </c>
      <c r="W17" s="30">
        <f t="shared" si="12"/>
        <v>2.1359138920525971</v>
      </c>
      <c r="X17">
        <v>1</v>
      </c>
      <c r="Y17">
        <v>9</v>
      </c>
      <c r="Z17" s="51">
        <f>SUMIF(Ra,"9",Ul)</f>
        <v>51.631064716015722</v>
      </c>
    </row>
    <row r="18" spans="1:26" ht="12.9" customHeight="1" x14ac:dyDescent="0.25">
      <c r="A18" s="11" t="s">
        <v>8</v>
      </c>
      <c r="B18" s="12">
        <f t="shared" si="13"/>
        <v>9</v>
      </c>
      <c r="C18" s="72">
        <v>1321</v>
      </c>
      <c r="D18" s="49">
        <v>1321</v>
      </c>
      <c r="E18" s="13">
        <f t="shared" si="0"/>
        <v>52.007874015748037</v>
      </c>
      <c r="F18" s="45">
        <v>43</v>
      </c>
      <c r="G18" s="45">
        <v>139</v>
      </c>
      <c r="H18" s="13">
        <f t="shared" si="1"/>
        <v>19</v>
      </c>
      <c r="I18" s="45">
        <v>2</v>
      </c>
      <c r="J18" s="14">
        <v>89</v>
      </c>
      <c r="K18" s="14">
        <f t="shared" si="2"/>
        <v>206.63294929165775</v>
      </c>
      <c r="L18" s="14">
        <f t="shared" si="3"/>
        <v>413.2658985833155</v>
      </c>
      <c r="M18" s="15">
        <f t="shared" si="4"/>
        <v>0.44206445258568122</v>
      </c>
      <c r="N18" s="16">
        <f t="shared" si="5"/>
        <v>7.5941885421276056E-2</v>
      </c>
      <c r="O18" s="16">
        <f t="shared" si="6"/>
        <v>4.468656113851807E-3</v>
      </c>
      <c r="P18" s="16">
        <f t="shared" si="7"/>
        <v>0</v>
      </c>
      <c r="Q18" s="17">
        <f t="shared" si="8"/>
        <v>8.0410541535127861E-2</v>
      </c>
      <c r="R18" s="17">
        <f t="shared" si="9"/>
        <v>1.2865686645620458</v>
      </c>
      <c r="S18" s="14">
        <f t="shared" si="10"/>
        <v>518.33996143283161</v>
      </c>
      <c r="T18" s="67">
        <f t="shared" si="11"/>
        <v>43.653528929125486</v>
      </c>
      <c r="U18" s="12">
        <f t="shared" si="14"/>
        <v>9</v>
      </c>
      <c r="V18">
        <v>0.5</v>
      </c>
      <c r="W18" s="30">
        <f t="shared" si="12"/>
        <v>3.6063795342547049</v>
      </c>
      <c r="X18">
        <v>1</v>
      </c>
      <c r="Y18">
        <v>10</v>
      </c>
      <c r="Z18" s="51">
        <f>SUMIF(Ra,"10",Ul)</f>
        <v>64.146691781815008</v>
      </c>
    </row>
    <row r="19" spans="1:26" ht="12.9" customHeight="1" x14ac:dyDescent="0.25">
      <c r="A19" s="12" t="s">
        <v>9</v>
      </c>
      <c r="B19" s="12">
        <f t="shared" si="13"/>
        <v>10</v>
      </c>
      <c r="C19" s="72">
        <v>1300</v>
      </c>
      <c r="D19" s="49">
        <v>1300</v>
      </c>
      <c r="E19" s="13">
        <f t="shared" si="0"/>
        <v>51.181102362204726</v>
      </c>
      <c r="F19" s="45">
        <v>43</v>
      </c>
      <c r="G19" s="45">
        <v>133</v>
      </c>
      <c r="H19" s="13">
        <f t="shared" si="1"/>
        <v>19</v>
      </c>
      <c r="I19" s="45">
        <v>2</v>
      </c>
      <c r="J19" s="14">
        <v>89</v>
      </c>
      <c r="K19" s="14">
        <f t="shared" si="2"/>
        <v>205.87050292103865</v>
      </c>
      <c r="L19" s="14">
        <f t="shared" si="3"/>
        <v>411.7410058420773</v>
      </c>
      <c r="M19" s="15">
        <f t="shared" si="4"/>
        <v>0.44043329725150493</v>
      </c>
      <c r="N19" s="16">
        <f t="shared" si="5"/>
        <v>7.8705621894546329E-2</v>
      </c>
      <c r="O19" s="16">
        <f t="shared" si="6"/>
        <v>4.6362177699771539E-3</v>
      </c>
      <c r="P19" s="16">
        <f t="shared" si="7"/>
        <v>0</v>
      </c>
      <c r="Q19" s="17">
        <f t="shared" si="8"/>
        <v>8.3341839664523479E-2</v>
      </c>
      <c r="R19" s="17">
        <f t="shared" si="9"/>
        <v>1.3334694346323757</v>
      </c>
      <c r="S19" s="14">
        <f t="shared" si="10"/>
        <v>502.02815055848396</v>
      </c>
      <c r="T19" s="67">
        <f t="shared" si="11"/>
        <v>46.2493028389543</v>
      </c>
      <c r="U19" s="12">
        <f t="shared" si="14"/>
        <v>10</v>
      </c>
      <c r="V19">
        <v>0.5</v>
      </c>
      <c r="W19" s="30">
        <f t="shared" si="12"/>
        <v>3.5930725036170772</v>
      </c>
      <c r="X19">
        <v>1</v>
      </c>
      <c r="Y19">
        <v>11</v>
      </c>
      <c r="Z19" s="51">
        <f>SUMIF(Ra,"11",Ul)</f>
        <v>43.697406666797953</v>
      </c>
    </row>
    <row r="20" spans="1:26" ht="12.9" customHeight="1" x14ac:dyDescent="0.25">
      <c r="A20" s="11" t="s">
        <v>10</v>
      </c>
      <c r="B20" s="12">
        <f t="shared" si="13"/>
        <v>11</v>
      </c>
      <c r="C20" s="72">
        <v>1277</v>
      </c>
      <c r="D20" s="49">
        <v>1277</v>
      </c>
      <c r="E20" s="13">
        <f t="shared" si="0"/>
        <v>50.275590551181104</v>
      </c>
      <c r="F20" s="45">
        <v>42</v>
      </c>
      <c r="G20" s="45">
        <v>126</v>
      </c>
      <c r="H20" s="13">
        <f t="shared" si="1"/>
        <v>18.5</v>
      </c>
      <c r="I20" s="45">
        <v>2</v>
      </c>
      <c r="J20" s="14">
        <v>89</v>
      </c>
      <c r="K20" s="14">
        <f t="shared" si="2"/>
        <v>200.28452311775584</v>
      </c>
      <c r="L20" s="14">
        <f t="shared" si="3"/>
        <v>400.56904623551168</v>
      </c>
      <c r="M20" s="15">
        <f t="shared" si="4"/>
        <v>0.44912966412855349</v>
      </c>
      <c r="N20" s="16">
        <f t="shared" si="5"/>
        <v>7.6309874439813408E-2</v>
      </c>
      <c r="O20" s="16">
        <f t="shared" si="6"/>
        <v>4.8492615901322787E-3</v>
      </c>
      <c r="P20" s="16">
        <f t="shared" si="7"/>
        <v>0</v>
      </c>
      <c r="Q20" s="17">
        <f t="shared" si="8"/>
        <v>8.1159136029945692E-2</v>
      </c>
      <c r="R20" s="17">
        <f t="shared" si="9"/>
        <v>1.2985461764791311</v>
      </c>
      <c r="S20" s="14">
        <f t="shared" si="10"/>
        <v>473.79484792301332</v>
      </c>
      <c r="T20" s="67">
        <f t="shared" si="11"/>
        <v>48.999429497718658</v>
      </c>
      <c r="U20" s="12">
        <f t="shared" si="14"/>
        <v>11</v>
      </c>
      <c r="V20">
        <v>0.5</v>
      </c>
      <c r="W20" s="30">
        <f t="shared" si="12"/>
        <v>3.4955800015239826</v>
      </c>
      <c r="X20">
        <v>2</v>
      </c>
      <c r="Y20">
        <v>12</v>
      </c>
      <c r="Z20" s="51">
        <f>SUMIF(Ra,"12",Ul)</f>
        <v>0</v>
      </c>
    </row>
    <row r="21" spans="1:26" ht="12.9" customHeight="1" x14ac:dyDescent="0.25">
      <c r="A21" s="11" t="s">
        <v>11</v>
      </c>
      <c r="B21" s="12">
        <f t="shared" si="13"/>
        <v>12</v>
      </c>
      <c r="C21" s="72">
        <v>1252</v>
      </c>
      <c r="D21" s="49">
        <v>1252</v>
      </c>
      <c r="E21" s="13">
        <f t="shared" si="0"/>
        <v>49.29133858267717</v>
      </c>
      <c r="F21" s="45">
        <v>42</v>
      </c>
      <c r="G21" s="45">
        <v>121</v>
      </c>
      <c r="H21" s="13">
        <f t="shared" si="1"/>
        <v>18.5</v>
      </c>
      <c r="I21" s="45">
        <v>2</v>
      </c>
      <c r="J21" s="14">
        <v>89</v>
      </c>
      <c r="K21" s="14">
        <f t="shared" si="2"/>
        <v>199.51316400262721</v>
      </c>
      <c r="L21" s="14">
        <f t="shared" si="3"/>
        <v>399.02632800525441</v>
      </c>
      <c r="M21" s="15">
        <f t="shared" si="4"/>
        <v>0.44739992358291714</v>
      </c>
      <c r="N21" s="16">
        <f t="shared" si="5"/>
        <v>7.9694749608848384E-2</v>
      </c>
      <c r="O21" s="16">
        <f t="shared" si="6"/>
        <v>5.0829655644071868E-3</v>
      </c>
      <c r="P21" s="16">
        <f t="shared" si="7"/>
        <v>0</v>
      </c>
      <c r="Q21" s="17">
        <f t="shared" si="8"/>
        <v>8.4777715173255566E-2</v>
      </c>
      <c r="R21" s="17">
        <f t="shared" si="9"/>
        <v>1.3564434427720891</v>
      </c>
      <c r="S21" s="14">
        <f t="shared" si="10"/>
        <v>460.28957116584718</v>
      </c>
      <c r="T21" s="67">
        <f t="shared" si="11"/>
        <v>51.913087197493141</v>
      </c>
      <c r="U21" s="12">
        <f t="shared" si="14"/>
        <v>12</v>
      </c>
      <c r="V21">
        <v>0.5</v>
      </c>
      <c r="W21" s="30">
        <f t="shared" si="12"/>
        <v>3.4821174161236539</v>
      </c>
      <c r="X21">
        <v>2</v>
      </c>
      <c r="Y21">
        <v>13</v>
      </c>
      <c r="Z21" s="51">
        <f>SUMIF(Ra,"13",Ul)</f>
        <v>0</v>
      </c>
    </row>
    <row r="22" spans="1:26" ht="12.9" customHeight="1" x14ac:dyDescent="0.25">
      <c r="A22" s="11" t="s">
        <v>12</v>
      </c>
      <c r="B22" s="12">
        <f t="shared" si="13"/>
        <v>13</v>
      </c>
      <c r="C22" s="72">
        <v>1227</v>
      </c>
      <c r="D22" s="49">
        <v>1227</v>
      </c>
      <c r="E22" s="13">
        <f t="shared" si="0"/>
        <v>48.30708661417323</v>
      </c>
      <c r="F22" s="45">
        <v>41</v>
      </c>
      <c r="G22" s="45">
        <v>115</v>
      </c>
      <c r="H22" s="13">
        <f t="shared" si="1"/>
        <v>18</v>
      </c>
      <c r="I22" s="45">
        <v>2</v>
      </c>
      <c r="J22" s="14">
        <v>89</v>
      </c>
      <c r="K22" s="14">
        <f t="shared" si="2"/>
        <v>194.44592061861977</v>
      </c>
      <c r="L22" s="14">
        <f t="shared" si="3"/>
        <v>388.89184123723953</v>
      </c>
      <c r="M22" s="15">
        <f t="shared" si="4"/>
        <v>0.45756632349128135</v>
      </c>
      <c r="N22" s="16">
        <f t="shared" si="5"/>
        <v>7.7314371135962692E-2</v>
      </c>
      <c r="O22" s="16">
        <f t="shared" si="6"/>
        <v>5.3521184325311917E-3</v>
      </c>
      <c r="P22" s="16">
        <f t="shared" si="7"/>
        <v>0</v>
      </c>
      <c r="Q22" s="17">
        <f t="shared" si="8"/>
        <v>8.2666489568493887E-2</v>
      </c>
      <c r="R22" s="17">
        <f t="shared" si="9"/>
        <v>1.3226638330959022</v>
      </c>
      <c r="S22" s="14">
        <f t="shared" si="10"/>
        <v>435.83409297423145</v>
      </c>
      <c r="T22" s="67">
        <f t="shared" si="11"/>
        <v>55</v>
      </c>
      <c r="U22" s="12">
        <f t="shared" si="14"/>
        <v>13</v>
      </c>
      <c r="V22">
        <v>0.5</v>
      </c>
      <c r="W22" s="30">
        <f t="shared" si="12"/>
        <v>3.3936784575847714</v>
      </c>
      <c r="X22">
        <v>2</v>
      </c>
      <c r="Y22">
        <v>14</v>
      </c>
      <c r="Z22" s="51">
        <f>SUMIF(Ra,"14",Ul)</f>
        <v>0</v>
      </c>
    </row>
    <row r="23" spans="1:26" ht="12.9" customHeight="1" x14ac:dyDescent="0.25">
      <c r="A23" s="11" t="s">
        <v>13</v>
      </c>
      <c r="B23" s="12">
        <f t="shared" si="13"/>
        <v>14</v>
      </c>
      <c r="C23" s="72">
        <v>1200</v>
      </c>
      <c r="D23" s="49">
        <v>1200</v>
      </c>
      <c r="E23" s="13">
        <f t="shared" si="0"/>
        <v>47.244094488188978</v>
      </c>
      <c r="F23" s="45">
        <v>41</v>
      </c>
      <c r="G23" s="45">
        <v>111</v>
      </c>
      <c r="H23" s="13">
        <f t="shared" si="1"/>
        <v>18</v>
      </c>
      <c r="I23" s="45">
        <v>2</v>
      </c>
      <c r="J23" s="14">
        <v>89</v>
      </c>
      <c r="K23" s="14">
        <f t="shared" si="2"/>
        <v>194.709307841612</v>
      </c>
      <c r="L23" s="14">
        <f t="shared" si="3"/>
        <v>389.418615683224</v>
      </c>
      <c r="M23" s="15">
        <f t="shared" si="4"/>
        <v>0.45818612113422347</v>
      </c>
      <c r="N23" s="16">
        <f t="shared" si="5"/>
        <v>8.0723314264053783E-2</v>
      </c>
      <c r="O23" s="16">
        <f t="shared" si="6"/>
        <v>5.6505097039753543E-3</v>
      </c>
      <c r="P23" s="16">
        <f t="shared" si="7"/>
        <v>0</v>
      </c>
      <c r="Q23" s="17">
        <f t="shared" si="8"/>
        <v>8.6373823968029131E-2</v>
      </c>
      <c r="R23" s="17">
        <f t="shared" si="9"/>
        <v>1.3819811834884661</v>
      </c>
      <c r="S23" s="14">
        <f t="shared" si="10"/>
        <v>426.18044019059357</v>
      </c>
      <c r="T23" s="67">
        <f t="shared" si="11"/>
        <v>58.270470189761227</v>
      </c>
      <c r="U23" s="12">
        <f t="shared" si="14"/>
        <v>14</v>
      </c>
      <c r="V23">
        <v>0.5</v>
      </c>
      <c r="W23" s="30">
        <f t="shared" si="12"/>
        <v>3.3982753734872908</v>
      </c>
      <c r="X23">
        <v>2</v>
      </c>
      <c r="Y23">
        <v>15</v>
      </c>
      <c r="Z23" s="51">
        <f>SUMIF(Ra,"15",Ul)</f>
        <v>0</v>
      </c>
    </row>
    <row r="24" spans="1:26" ht="12.9" customHeight="1" x14ac:dyDescent="0.25">
      <c r="A24" s="11" t="s">
        <v>14</v>
      </c>
      <c r="B24" s="12">
        <f t="shared" si="13"/>
        <v>15</v>
      </c>
      <c r="C24" s="72">
        <v>1174</v>
      </c>
      <c r="D24" s="49">
        <v>1174</v>
      </c>
      <c r="E24" s="13">
        <f t="shared" si="0"/>
        <v>46.220472440944881</v>
      </c>
      <c r="F24" s="45">
        <v>40</v>
      </c>
      <c r="G24" s="45">
        <v>105</v>
      </c>
      <c r="H24" s="13">
        <f t="shared" si="1"/>
        <v>17.5</v>
      </c>
      <c r="I24" s="45">
        <v>2</v>
      </c>
      <c r="J24" s="14">
        <v>89</v>
      </c>
      <c r="K24" s="14">
        <f t="shared" si="2"/>
        <v>187.38000564413807</v>
      </c>
      <c r="L24" s="14">
        <f t="shared" si="3"/>
        <v>374.76001128827613</v>
      </c>
      <c r="M24" s="15">
        <f t="shared" si="4"/>
        <v>0.46326148547304702</v>
      </c>
      <c r="N24" s="16">
        <f t="shared" si="5"/>
        <v>7.9395024379883661E-2</v>
      </c>
      <c r="O24" s="16">
        <f t="shared" si="6"/>
        <v>5.9634268556835015E-3</v>
      </c>
      <c r="P24" s="16">
        <f t="shared" si="7"/>
        <v>0</v>
      </c>
      <c r="Q24" s="17">
        <f t="shared" si="8"/>
        <v>8.5358451235567165E-2</v>
      </c>
      <c r="R24" s="17">
        <f t="shared" si="9"/>
        <v>1.3657352197690746</v>
      </c>
      <c r="S24" s="14">
        <f t="shared" si="10"/>
        <v>399.85241305860347</v>
      </c>
      <c r="T24" s="67">
        <f t="shared" si="11"/>
        <v>61.735412657015516</v>
      </c>
      <c r="U24" s="12">
        <f t="shared" si="14"/>
        <v>15</v>
      </c>
      <c r="V24">
        <v>0.5</v>
      </c>
      <c r="W24" s="30">
        <f t="shared" si="12"/>
        <v>3.2703565418781579</v>
      </c>
      <c r="X24">
        <v>2</v>
      </c>
      <c r="Y24">
        <v>16</v>
      </c>
      <c r="Z24" s="51">
        <f>SUMIF(Ra,"16",Ul)</f>
        <v>0</v>
      </c>
    </row>
    <row r="25" spans="1:26" ht="12.9" customHeight="1" x14ac:dyDescent="0.25">
      <c r="A25" s="11" t="s">
        <v>15</v>
      </c>
      <c r="B25" s="12">
        <f t="shared" si="13"/>
        <v>16</v>
      </c>
      <c r="C25" s="72">
        <v>1138</v>
      </c>
      <c r="D25" s="49">
        <v>1138</v>
      </c>
      <c r="E25" s="13">
        <f t="shared" si="0"/>
        <v>44.803149606299215</v>
      </c>
      <c r="F25" s="45">
        <v>40</v>
      </c>
      <c r="G25" s="45">
        <v>102</v>
      </c>
      <c r="H25" s="13">
        <f t="shared" si="1"/>
        <v>17.5</v>
      </c>
      <c r="I25" s="45">
        <v>2</v>
      </c>
      <c r="J25" s="14">
        <v>89</v>
      </c>
      <c r="K25" s="14">
        <f t="shared" si="2"/>
        <v>186.69019984706728</v>
      </c>
      <c r="L25" s="14">
        <f t="shared" si="3"/>
        <v>373.38039969413455</v>
      </c>
      <c r="M25" s="15">
        <f t="shared" si="4"/>
        <v>0.46155607161557377</v>
      </c>
      <c r="N25" s="16">
        <f t="shared" si="5"/>
        <v>8.4809925791193466E-2</v>
      </c>
      <c r="O25" s="16">
        <f t="shared" si="6"/>
        <v>6.467965626332158E-3</v>
      </c>
      <c r="P25" s="16">
        <f t="shared" si="7"/>
        <v>0</v>
      </c>
      <c r="Q25" s="17">
        <f t="shared" si="8"/>
        <v>9.1277891417525625E-2</v>
      </c>
      <c r="R25" s="17">
        <f t="shared" si="9"/>
        <v>1.46044626268041</v>
      </c>
      <c r="S25" s="14">
        <f t="shared" si="10"/>
        <v>391.81139447943968</v>
      </c>
      <c r="T25" s="67">
        <f t="shared" si="11"/>
        <v>65.406391325149656</v>
      </c>
      <c r="U25" s="12">
        <f t="shared" si="14"/>
        <v>16</v>
      </c>
      <c r="V25">
        <v>0.5</v>
      </c>
      <c r="W25" s="30">
        <f t="shared" si="12"/>
        <v>3.2583173123279132</v>
      </c>
      <c r="X25">
        <v>2</v>
      </c>
      <c r="Z25" s="51"/>
    </row>
    <row r="26" spans="1:26" ht="12.9" customHeight="1" x14ac:dyDescent="0.25">
      <c r="A26" s="11" t="s">
        <v>16</v>
      </c>
      <c r="B26" s="12">
        <f t="shared" si="13"/>
        <v>17</v>
      </c>
      <c r="C26" s="72">
        <v>1115</v>
      </c>
      <c r="D26" s="49">
        <v>1115</v>
      </c>
      <c r="E26" s="13">
        <f t="shared" si="0"/>
        <v>43.897637795275593</v>
      </c>
      <c r="F26" s="45">
        <v>39</v>
      </c>
      <c r="G26" s="45">
        <v>97</v>
      </c>
      <c r="H26" s="13">
        <f t="shared" si="1"/>
        <v>17</v>
      </c>
      <c r="I26" s="45">
        <v>2</v>
      </c>
      <c r="J26" s="14">
        <v>89</v>
      </c>
      <c r="K26" s="14">
        <f t="shared" si="2"/>
        <v>182.10241676902646</v>
      </c>
      <c r="L26" s="14">
        <f t="shared" si="3"/>
        <v>364.20483353805292</v>
      </c>
      <c r="M26" s="15">
        <f t="shared" si="4"/>
        <v>0.47359752694613605</v>
      </c>
      <c r="N26" s="16">
        <f t="shared" si="5"/>
        <v>8.1847561775763786E-2</v>
      </c>
      <c r="O26" s="16">
        <f t="shared" si="6"/>
        <v>6.8015538111045023E-3</v>
      </c>
      <c r="P26" s="16">
        <f t="shared" si="7"/>
        <v>0</v>
      </c>
      <c r="Q26" s="17">
        <f t="shared" si="8"/>
        <v>8.8649115586868291E-2</v>
      </c>
      <c r="R26" s="17">
        <f t="shared" si="9"/>
        <v>1.4183858493898927</v>
      </c>
      <c r="S26" s="14">
        <f t="shared" si="10"/>
        <v>371.40219380884844</v>
      </c>
      <c r="T26" s="67">
        <f t="shared" si="11"/>
        <v>69.295657744218019</v>
      </c>
      <c r="U26" s="12">
        <f t="shared" si="14"/>
        <v>17</v>
      </c>
      <c r="V26">
        <v>0.5</v>
      </c>
      <c r="W26" s="30">
        <f t="shared" si="12"/>
        <v>3.1782464085491884</v>
      </c>
      <c r="X26">
        <v>2</v>
      </c>
      <c r="Z26" s="51"/>
    </row>
    <row r="27" spans="1:26" ht="12.9" customHeight="1" x14ac:dyDescent="0.25">
      <c r="A27" s="11" t="s">
        <v>17</v>
      </c>
      <c r="B27" s="12">
        <f t="shared" si="13"/>
        <v>18</v>
      </c>
      <c r="C27" s="72">
        <v>1085</v>
      </c>
      <c r="D27" s="49">
        <v>1085</v>
      </c>
      <c r="E27" s="13">
        <f t="shared" si="0"/>
        <v>42.716535433070867</v>
      </c>
      <c r="F27" s="45">
        <v>39</v>
      </c>
      <c r="G27" s="45">
        <v>93</v>
      </c>
      <c r="H27" s="13">
        <f t="shared" si="1"/>
        <v>17</v>
      </c>
      <c r="I27" s="45">
        <v>2</v>
      </c>
      <c r="J27" s="14">
        <v>89</v>
      </c>
      <c r="K27" s="14">
        <f t="shared" si="2"/>
        <v>178.22410134999632</v>
      </c>
      <c r="L27" s="14">
        <f t="shared" si="3"/>
        <v>356.44820269999263</v>
      </c>
      <c r="M27" s="15">
        <f t="shared" si="4"/>
        <v>0.46351111170926723</v>
      </c>
      <c r="N27" s="16">
        <f t="shared" si="5"/>
        <v>8.8317197764359576E-2</v>
      </c>
      <c r="O27" s="16">
        <f t="shared" si="6"/>
        <v>7.2372159820152772E-3</v>
      </c>
      <c r="P27" s="16">
        <f t="shared" si="7"/>
        <v>0</v>
      </c>
      <c r="Q27" s="17">
        <f t="shared" si="8"/>
        <v>9.5554413746374856E-2</v>
      </c>
      <c r="R27" s="17">
        <f t="shared" si="9"/>
        <v>1.5288706199419977</v>
      </c>
      <c r="S27" s="14">
        <f t="shared" si="10"/>
        <v>357.9124791486272</v>
      </c>
      <c r="T27" s="67">
        <f t="shared" si="11"/>
        <v>73.416191979351893</v>
      </c>
      <c r="U27" s="12">
        <f t="shared" si="14"/>
        <v>18</v>
      </c>
      <c r="V27">
        <v>0.5</v>
      </c>
      <c r="W27" s="30">
        <f t="shared" si="12"/>
        <v>3.1105578941930734</v>
      </c>
      <c r="X27">
        <v>3</v>
      </c>
      <c r="Z27" s="51"/>
    </row>
    <row r="28" spans="1:26" ht="12.9" customHeight="1" x14ac:dyDescent="0.25">
      <c r="A28" s="11" t="s">
        <v>18</v>
      </c>
      <c r="B28" s="12">
        <f t="shared" si="13"/>
        <v>19</v>
      </c>
      <c r="C28" s="72">
        <v>1055</v>
      </c>
      <c r="D28" s="49">
        <v>1055</v>
      </c>
      <c r="E28" s="13">
        <f t="shared" si="0"/>
        <v>41.535433070866141</v>
      </c>
      <c r="F28" s="45">
        <v>38</v>
      </c>
      <c r="G28" s="45">
        <v>89</v>
      </c>
      <c r="H28" s="13">
        <f t="shared" si="1"/>
        <v>16.5</v>
      </c>
      <c r="I28" s="45">
        <v>2</v>
      </c>
      <c r="J28" s="14">
        <v>89</v>
      </c>
      <c r="K28" s="14">
        <f t="shared" si="2"/>
        <v>173.35482869773696</v>
      </c>
      <c r="L28" s="14">
        <f t="shared" si="3"/>
        <v>346.70965739547393</v>
      </c>
      <c r="M28" s="15">
        <f t="shared" si="4"/>
        <v>0.4748885301732424</v>
      </c>
      <c r="N28" s="16">
        <f t="shared" si="5"/>
        <v>8.6557815345294095E-2</v>
      </c>
      <c r="O28" s="16">
        <f t="shared" si="6"/>
        <v>7.7965999625158166E-3</v>
      </c>
      <c r="P28" s="16">
        <f t="shared" si="7"/>
        <v>0</v>
      </c>
      <c r="Q28" s="17">
        <f t="shared" si="8"/>
        <v>9.4354415307809913E-2</v>
      </c>
      <c r="R28" s="17">
        <f t="shared" si="9"/>
        <v>1.5096706449249586</v>
      </c>
      <c r="S28" s="14">
        <f t="shared" si="10"/>
        <v>340.14963657772086</v>
      </c>
      <c r="T28" s="67">
        <f t="shared" si="11"/>
        <v>77.781745930520216</v>
      </c>
      <c r="U28" s="12">
        <f t="shared" si="14"/>
        <v>19</v>
      </c>
      <c r="V28">
        <v>0.5</v>
      </c>
      <c r="W28" s="30">
        <f t="shared" si="12"/>
        <v>3.025574132890668</v>
      </c>
      <c r="X28">
        <v>3</v>
      </c>
      <c r="Z28" s="51"/>
    </row>
    <row r="29" spans="1:26" ht="12.9" customHeight="1" x14ac:dyDescent="0.25">
      <c r="A29" s="12" t="s">
        <v>19</v>
      </c>
      <c r="B29" s="12">
        <f t="shared" si="13"/>
        <v>20</v>
      </c>
      <c r="C29" s="72">
        <v>1025</v>
      </c>
      <c r="D29" s="49">
        <v>1025</v>
      </c>
      <c r="E29" s="13">
        <f t="shared" si="0"/>
        <v>40.354330708661422</v>
      </c>
      <c r="F29" s="45">
        <v>38</v>
      </c>
      <c r="G29" s="45">
        <v>86</v>
      </c>
      <c r="H29" s="13">
        <f t="shared" si="1"/>
        <v>16.5</v>
      </c>
      <c r="I29" s="45">
        <v>2</v>
      </c>
      <c r="J29" s="14">
        <v>89</v>
      </c>
      <c r="K29" s="14">
        <f t="shared" si="2"/>
        <v>171.76950986588122</v>
      </c>
      <c r="L29" s="14">
        <f t="shared" si="3"/>
        <v>343.53901973176244</v>
      </c>
      <c r="M29" s="15">
        <f t="shared" si="4"/>
        <v>0.47054570490802516</v>
      </c>
      <c r="N29" s="16">
        <f t="shared" si="5"/>
        <v>9.2545081426040815E-2</v>
      </c>
      <c r="O29" s="16">
        <f t="shared" si="6"/>
        <v>8.3445127460087549E-3</v>
      </c>
      <c r="P29" s="16">
        <f t="shared" si="7"/>
        <v>0</v>
      </c>
      <c r="Q29" s="17">
        <f t="shared" si="8"/>
        <v>0.10088959417204957</v>
      </c>
      <c r="R29" s="17">
        <f t="shared" si="9"/>
        <v>1.6142335067527931</v>
      </c>
      <c r="S29" s="14">
        <f t="shared" si="10"/>
        <v>331.58750249684147</v>
      </c>
      <c r="T29" s="67">
        <f t="shared" si="11"/>
        <v>82.406889228217466</v>
      </c>
      <c r="U29" s="12">
        <f t="shared" si="14"/>
        <v>20</v>
      </c>
      <c r="V29">
        <v>0.5</v>
      </c>
      <c r="W29" s="30">
        <f t="shared" si="12"/>
        <v>2.9979054507658085</v>
      </c>
      <c r="X29">
        <v>3</v>
      </c>
      <c r="Z29" s="51"/>
    </row>
    <row r="30" spans="1:26" ht="12.9" customHeight="1" x14ac:dyDescent="0.25">
      <c r="A30" s="12" t="s">
        <v>20</v>
      </c>
      <c r="B30" s="12">
        <f t="shared" si="13"/>
        <v>21</v>
      </c>
      <c r="C30" s="72">
        <v>1205</v>
      </c>
      <c r="D30" s="49">
        <v>1272</v>
      </c>
      <c r="E30" s="13">
        <f t="shared" si="0"/>
        <v>50.078740157480318</v>
      </c>
      <c r="F30" s="45">
        <v>37</v>
      </c>
      <c r="G30" s="45">
        <v>70</v>
      </c>
      <c r="H30" s="13">
        <f t="shared" si="1"/>
        <v>16</v>
      </c>
      <c r="I30" s="45">
        <v>2</v>
      </c>
      <c r="J30" s="14">
        <v>89</v>
      </c>
      <c r="K30" s="14">
        <f t="shared" si="2"/>
        <v>198.71538550006198</v>
      </c>
      <c r="L30" s="14">
        <f t="shared" si="3"/>
        <v>397.43077100012397</v>
      </c>
      <c r="M30" s="15">
        <f t="shared" si="4"/>
        <v>0.57418385376713454</v>
      </c>
      <c r="N30" s="16">
        <f t="shared" si="5"/>
        <v>4.6688932326146432E-2</v>
      </c>
      <c r="O30" s="16">
        <f t="shared" si="6"/>
        <v>3.8996564856806038E-3</v>
      </c>
      <c r="P30" s="16">
        <f t="shared" si="7"/>
        <v>0</v>
      </c>
      <c r="Q30" s="17">
        <f t="shared" si="8"/>
        <v>5.0588588811827033E-2</v>
      </c>
      <c r="R30" s="17">
        <f t="shared" si="9"/>
        <v>0.80941742098923253</v>
      </c>
      <c r="S30" s="14">
        <f t="shared" si="10"/>
        <v>312.78451752425303</v>
      </c>
      <c r="T30" s="67">
        <f t="shared" si="11"/>
        <v>87.307057858250971</v>
      </c>
      <c r="U30" s="12">
        <f t="shared" si="14"/>
        <v>21</v>
      </c>
      <c r="V30">
        <v>0.5</v>
      </c>
      <c r="W30" s="30">
        <f t="shared" si="12"/>
        <v>3.4681937312787041</v>
      </c>
      <c r="X30">
        <v>3</v>
      </c>
      <c r="Z30" s="51"/>
    </row>
    <row r="31" spans="1:26" ht="12.9" customHeight="1" x14ac:dyDescent="0.25">
      <c r="A31" s="12" t="s">
        <v>21</v>
      </c>
      <c r="B31" s="12">
        <f t="shared" si="13"/>
        <v>22</v>
      </c>
      <c r="C31" s="72">
        <v>1196</v>
      </c>
      <c r="D31" s="49">
        <v>1260</v>
      </c>
      <c r="E31" s="13">
        <f t="shared" si="0"/>
        <v>49.606299212598429</v>
      </c>
      <c r="F31" s="45">
        <v>37</v>
      </c>
      <c r="G31" s="45">
        <v>67</v>
      </c>
      <c r="H31" s="13">
        <f t="shared" si="1"/>
        <v>16</v>
      </c>
      <c r="I31" s="45">
        <v>2</v>
      </c>
      <c r="J31" s="14">
        <v>89</v>
      </c>
      <c r="K31" s="14">
        <f t="shared" si="2"/>
        <v>201.11698463318714</v>
      </c>
      <c r="L31" s="14">
        <f t="shared" si="3"/>
        <v>402.23396926637429</v>
      </c>
      <c r="M31" s="15">
        <f t="shared" si="4"/>
        <v>0.58112322306655484</v>
      </c>
      <c r="N31" s="16">
        <f t="shared" si="5"/>
        <v>4.7014283267183078E-2</v>
      </c>
      <c r="O31" s="16">
        <f t="shared" si="6"/>
        <v>3.8572704127331652E-3</v>
      </c>
      <c r="P31" s="16">
        <f t="shared" si="7"/>
        <v>0</v>
      </c>
      <c r="Q31" s="17">
        <f t="shared" si="8"/>
        <v>5.0871553679916241E-2</v>
      </c>
      <c r="R31" s="17">
        <f t="shared" si="9"/>
        <v>0.81394485887865986</v>
      </c>
      <c r="S31" s="14">
        <f t="shared" si="10"/>
        <v>307.09641582161896</v>
      </c>
      <c r="T31" s="67">
        <f t="shared" si="11"/>
        <v>92.4986056779086</v>
      </c>
      <c r="U31" s="12">
        <f t="shared" si="14"/>
        <v>22</v>
      </c>
      <c r="V31">
        <v>0.5</v>
      </c>
      <c r="W31" s="30">
        <f t="shared" si="12"/>
        <v>3.5101090114548654</v>
      </c>
      <c r="X31">
        <v>3</v>
      </c>
    </row>
    <row r="32" spans="1:26" ht="12.9" customHeight="1" x14ac:dyDescent="0.25">
      <c r="A32" s="12" t="s">
        <v>22</v>
      </c>
      <c r="B32" s="12">
        <f t="shared" si="13"/>
        <v>23</v>
      </c>
      <c r="C32" s="72">
        <v>1186</v>
      </c>
      <c r="D32" s="49">
        <v>1248</v>
      </c>
      <c r="E32" s="13">
        <f t="shared" si="0"/>
        <v>49.133858267716541</v>
      </c>
      <c r="F32" s="45">
        <v>37</v>
      </c>
      <c r="G32" s="45">
        <v>64</v>
      </c>
      <c r="H32" s="13">
        <f t="shared" si="1"/>
        <v>16</v>
      </c>
      <c r="I32" s="45">
        <v>2</v>
      </c>
      <c r="J32" s="14">
        <v>89</v>
      </c>
      <c r="K32" s="14">
        <f t="shared" si="2"/>
        <v>202.78217839231419</v>
      </c>
      <c r="L32" s="14">
        <f t="shared" si="3"/>
        <v>405.56435678462839</v>
      </c>
      <c r="M32" s="15">
        <f t="shared" si="4"/>
        <v>0.58593476479734985</v>
      </c>
      <c r="N32" s="16">
        <f t="shared" si="5"/>
        <v>4.7529221845215727E-2</v>
      </c>
      <c r="O32" s="16">
        <f t="shared" si="6"/>
        <v>3.7886540961629247E-3</v>
      </c>
      <c r="P32" s="16">
        <f t="shared" si="7"/>
        <v>0</v>
      </c>
      <c r="Q32" s="17">
        <f t="shared" si="8"/>
        <v>5.1317875941378654E-2</v>
      </c>
      <c r="R32" s="17">
        <f t="shared" si="9"/>
        <v>0.82108601506205847</v>
      </c>
      <c r="S32" s="14">
        <f t="shared" si="10"/>
        <v>300.76230098622705</v>
      </c>
      <c r="T32" s="67">
        <f t="shared" si="11"/>
        <v>97.998858995437303</v>
      </c>
      <c r="U32" s="12">
        <f t="shared" si="14"/>
        <v>23</v>
      </c>
      <c r="V32">
        <v>0.5</v>
      </c>
      <c r="W32" s="30">
        <f t="shared" si="12"/>
        <v>3.5391717563562515</v>
      </c>
      <c r="X32">
        <v>3</v>
      </c>
    </row>
    <row r="33" spans="1:27" ht="12.9" customHeight="1" x14ac:dyDescent="0.25">
      <c r="A33" s="12" t="s">
        <v>23</v>
      </c>
      <c r="B33" s="12">
        <f t="shared" si="13"/>
        <v>24</v>
      </c>
      <c r="C33" s="72">
        <v>1175</v>
      </c>
      <c r="D33" s="49">
        <v>1233</v>
      </c>
      <c r="E33" s="13">
        <f t="shared" si="0"/>
        <v>48.543307086614178</v>
      </c>
      <c r="F33" s="45">
        <v>36</v>
      </c>
      <c r="G33" s="64">
        <v>62</v>
      </c>
      <c r="H33" s="13">
        <f t="shared" si="1"/>
        <v>15.5</v>
      </c>
      <c r="I33" s="45">
        <v>2</v>
      </c>
      <c r="J33" s="14">
        <v>89</v>
      </c>
      <c r="K33" s="14">
        <f t="shared" si="2"/>
        <v>208.57985969118494</v>
      </c>
      <c r="L33" s="14">
        <f t="shared" si="3"/>
        <v>417.15971938236987</v>
      </c>
      <c r="M33" s="15">
        <f t="shared" si="4"/>
        <v>0.63663469051312016</v>
      </c>
      <c r="N33" s="16">
        <f t="shared" si="5"/>
        <v>4.2425233524048332E-2</v>
      </c>
      <c r="O33" s="16">
        <f t="shared" si="6"/>
        <v>3.9087334681611342E-3</v>
      </c>
      <c r="P33" s="16">
        <f t="shared" si="7"/>
        <v>0</v>
      </c>
      <c r="Q33" s="17">
        <f t="shared" si="8"/>
        <v>4.6333966992209465E-2</v>
      </c>
      <c r="R33" s="17">
        <f t="shared" si="9"/>
        <v>0.74134347187535143</v>
      </c>
      <c r="S33" s="14">
        <f t="shared" si="10"/>
        <v>296.09279314272845</v>
      </c>
      <c r="T33" s="67">
        <f t="shared" si="11"/>
        <v>103.82617439498628</v>
      </c>
      <c r="U33" s="12">
        <f t="shared" si="14"/>
        <v>24</v>
      </c>
      <c r="V33">
        <v>0.5</v>
      </c>
      <c r="W33" s="30">
        <f t="shared" si="12"/>
        <v>3.6403590996819597</v>
      </c>
      <c r="X33">
        <v>3</v>
      </c>
      <c r="Z33" s="29"/>
    </row>
    <row r="34" spans="1:27" ht="12.9" customHeight="1" x14ac:dyDescent="0.25">
      <c r="A34" s="12" t="s">
        <v>24</v>
      </c>
      <c r="B34" s="12">
        <f t="shared" si="13"/>
        <v>25</v>
      </c>
      <c r="C34" s="72">
        <v>1163</v>
      </c>
      <c r="D34" s="49">
        <v>1217</v>
      </c>
      <c r="E34" s="13">
        <f t="shared" si="0"/>
        <v>47.913385826771659</v>
      </c>
      <c r="F34" s="45">
        <v>36</v>
      </c>
      <c r="G34" s="45">
        <v>60</v>
      </c>
      <c r="H34" s="13">
        <f t="shared" si="1"/>
        <v>15.5</v>
      </c>
      <c r="I34" s="45">
        <v>2</v>
      </c>
      <c r="J34" s="14">
        <v>89</v>
      </c>
      <c r="K34" s="14">
        <f t="shared" si="2"/>
        <v>214.18748020458335</v>
      </c>
      <c r="L34" s="14">
        <f t="shared" si="3"/>
        <v>428.3749604091667</v>
      </c>
      <c r="M34" s="15">
        <f t="shared" si="4"/>
        <v>0.65375046456411445</v>
      </c>
      <c r="N34" s="16">
        <f t="shared" si="5"/>
        <v>4.2407974256805529E-2</v>
      </c>
      <c r="O34" s="16">
        <f t="shared" si="6"/>
        <v>3.9130056510882734E-3</v>
      </c>
      <c r="P34" s="16">
        <f t="shared" si="7"/>
        <v>0</v>
      </c>
      <c r="Q34" s="17">
        <f t="shared" si="8"/>
        <v>4.63209799078938E-2</v>
      </c>
      <c r="R34" s="17">
        <f t="shared" si="9"/>
        <v>0.7411356785263008</v>
      </c>
      <c r="S34" s="14">
        <f t="shared" si="10"/>
        <v>294.83807097427052</v>
      </c>
      <c r="T34" s="67">
        <f t="shared" si="11"/>
        <v>110</v>
      </c>
      <c r="U34" s="12">
        <f t="shared" si="14"/>
        <v>25</v>
      </c>
      <c r="V34">
        <v>0.5</v>
      </c>
      <c r="W34" s="30">
        <f t="shared" si="12"/>
        <v>3.738229298625122</v>
      </c>
      <c r="X34">
        <v>3</v>
      </c>
      <c r="Y34" s="49"/>
    </row>
    <row r="35" spans="1:27" ht="12.9" customHeight="1" x14ac:dyDescent="0.25">
      <c r="A35" s="37" t="s">
        <v>25</v>
      </c>
      <c r="B35" s="37">
        <f t="shared" si="13"/>
        <v>26</v>
      </c>
      <c r="C35" s="73">
        <v>1150</v>
      </c>
      <c r="D35" s="65">
        <f>C35</f>
        <v>1150</v>
      </c>
      <c r="E35" s="38">
        <f t="shared" si="0"/>
        <v>45.275590551181104</v>
      </c>
      <c r="F35" s="46">
        <v>36</v>
      </c>
      <c r="G35" s="69">
        <v>57</v>
      </c>
      <c r="H35" s="59">
        <f t="shared" si="1"/>
        <v>15.5</v>
      </c>
      <c r="I35" s="69">
        <v>2</v>
      </c>
      <c r="J35" s="39">
        <v>89</v>
      </c>
      <c r="K35" s="39">
        <f t="shared" si="2"/>
        <v>194.63528081419378</v>
      </c>
      <c r="L35" s="39">
        <f t="shared" si="3"/>
        <v>389.27056162838755</v>
      </c>
      <c r="M35" s="40">
        <f t="shared" si="4"/>
        <v>0.59407256265076136</v>
      </c>
      <c r="N35" s="41">
        <f t="shared" si="5"/>
        <v>5.2264345838186059E-2</v>
      </c>
      <c r="O35" s="41">
        <f t="shared" si="6"/>
        <v>4.3287271659556053E-3</v>
      </c>
      <c r="P35" s="41">
        <f t="shared" si="7"/>
        <v>0</v>
      </c>
      <c r="Q35" s="42">
        <f t="shared" si="8"/>
        <v>5.6593073004141667E-2</v>
      </c>
      <c r="R35" s="42">
        <f t="shared" si="9"/>
        <v>0.90548916806626667</v>
      </c>
      <c r="S35" s="39">
        <f t="shared" si="10"/>
        <v>273.61204798241045</v>
      </c>
      <c r="T35" s="68">
        <f t="shared" si="11"/>
        <v>116.54094037952248</v>
      </c>
      <c r="U35" s="12">
        <f t="shared" si="14"/>
        <v>26</v>
      </c>
      <c r="V35">
        <v>0.5</v>
      </c>
      <c r="W35" s="30">
        <f t="shared" si="12"/>
        <v>3.3969833745220823</v>
      </c>
      <c r="X35">
        <v>3</v>
      </c>
      <c r="Y35" s="49"/>
    </row>
    <row r="36" spans="1:27" ht="12.9" customHeight="1" x14ac:dyDescent="0.25">
      <c r="A36" s="12" t="s">
        <v>26</v>
      </c>
      <c r="B36" s="12">
        <f t="shared" si="13"/>
        <v>27</v>
      </c>
      <c r="C36" s="72">
        <v>1182</v>
      </c>
      <c r="D36" s="54">
        <f t="shared" ref="D36:D97" si="15">C36</f>
        <v>1182</v>
      </c>
      <c r="E36" s="13">
        <f t="shared" si="0"/>
        <v>46.535433070866148</v>
      </c>
      <c r="F36" s="45">
        <v>45</v>
      </c>
      <c r="G36" s="54">
        <v>0</v>
      </c>
      <c r="H36" s="49">
        <f t="shared" si="1"/>
        <v>20</v>
      </c>
      <c r="I36" s="54">
        <v>3</v>
      </c>
      <c r="J36" s="14">
        <v>0</v>
      </c>
      <c r="K36" s="14">
        <f t="shared" si="2"/>
        <v>154.03436476406497</v>
      </c>
      <c r="L36" s="14">
        <f t="shared" si="3"/>
        <v>462.1030942921949</v>
      </c>
      <c r="M36" s="15">
        <f t="shared" si="4"/>
        <v>0.30089538358349927</v>
      </c>
      <c r="N36" s="16">
        <f t="shared" si="5"/>
        <v>0.15261957601654422</v>
      </c>
      <c r="O36" s="16">
        <f t="shared" si="6"/>
        <v>0</v>
      </c>
      <c r="P36" s="16">
        <f t="shared" si="7"/>
        <v>0</v>
      </c>
      <c r="Q36" s="17">
        <f t="shared" si="8"/>
        <v>0.15261957601654422</v>
      </c>
      <c r="R36" s="17">
        <f t="shared" si="9"/>
        <v>2.4419132162647075</v>
      </c>
      <c r="S36" s="14">
        <f t="shared" si="10"/>
        <v>334.09327473176199</v>
      </c>
      <c r="T36" s="67">
        <f t="shared" si="11"/>
        <v>123.470825314031</v>
      </c>
      <c r="U36" s="12">
        <f t="shared" si="14"/>
        <v>27</v>
      </c>
      <c r="V36">
        <v>0.75</v>
      </c>
      <c r="W36" s="30">
        <f t="shared" si="12"/>
        <v>6.0487426165516771</v>
      </c>
      <c r="X36">
        <v>1</v>
      </c>
      <c r="Y36" s="49"/>
    </row>
    <row r="37" spans="1:27" ht="12.9" customHeight="1" x14ac:dyDescent="0.25">
      <c r="A37" s="12" t="s">
        <v>27</v>
      </c>
      <c r="B37" s="12">
        <f t="shared" si="13"/>
        <v>28</v>
      </c>
      <c r="C37" s="72">
        <v>1155</v>
      </c>
      <c r="D37" s="54">
        <f t="shared" si="15"/>
        <v>1155</v>
      </c>
      <c r="E37" s="13">
        <f t="shared" si="0"/>
        <v>45.472440944881889</v>
      </c>
      <c r="F37" s="45">
        <v>43</v>
      </c>
      <c r="G37" s="54">
        <v>0</v>
      </c>
      <c r="H37" s="13">
        <f t="shared" si="1"/>
        <v>19</v>
      </c>
      <c r="I37" s="54">
        <v>3</v>
      </c>
      <c r="J37" s="14">
        <v>0</v>
      </c>
      <c r="K37" s="14">
        <f t="shared" si="2"/>
        <v>150.74058168306311</v>
      </c>
      <c r="L37" s="14">
        <f t="shared" si="3"/>
        <v>452.22174504918934</v>
      </c>
      <c r="M37" s="15">
        <f t="shared" si="4"/>
        <v>0.32248996567393406</v>
      </c>
      <c r="N37" s="16">
        <f t="shared" si="5"/>
        <v>0.13617344657188499</v>
      </c>
      <c r="O37" s="16">
        <f t="shared" si="6"/>
        <v>0</v>
      </c>
      <c r="P37" s="16">
        <f t="shared" si="7"/>
        <v>0</v>
      </c>
      <c r="Q37" s="17">
        <f t="shared" si="8"/>
        <v>0.13617344657188499</v>
      </c>
      <c r="R37" s="17">
        <f t="shared" si="9"/>
        <v>2.1787751451501598</v>
      </c>
      <c r="S37" s="14">
        <f t="shared" si="10"/>
        <v>315.81296692411502</v>
      </c>
      <c r="T37" s="67">
        <f t="shared" si="11"/>
        <v>130.81278265029931</v>
      </c>
      <c r="U37" s="12">
        <f t="shared" si="14"/>
        <v>28</v>
      </c>
      <c r="V37">
        <v>0.75</v>
      </c>
      <c r="W37" s="30">
        <f t="shared" si="12"/>
        <v>5.9193997512615235</v>
      </c>
      <c r="X37" s="16">
        <v>1</v>
      </c>
      <c r="Y37" s="49"/>
    </row>
    <row r="38" spans="1:27" ht="12.9" customHeight="1" x14ac:dyDescent="0.25">
      <c r="A38" s="12" t="s">
        <v>28</v>
      </c>
      <c r="B38" s="12">
        <f t="shared" si="13"/>
        <v>29</v>
      </c>
      <c r="C38" s="72">
        <v>1124</v>
      </c>
      <c r="D38" s="54">
        <f t="shared" si="15"/>
        <v>1124</v>
      </c>
      <c r="E38" s="13">
        <f t="shared" si="0"/>
        <v>44.251968503937007</v>
      </c>
      <c r="F38" s="45">
        <v>43</v>
      </c>
      <c r="G38" s="54">
        <v>0</v>
      </c>
      <c r="H38" s="13">
        <f t="shared" si="1"/>
        <v>19</v>
      </c>
      <c r="I38" s="54">
        <v>3</v>
      </c>
      <c r="J38" s="14">
        <v>0</v>
      </c>
      <c r="K38" s="14">
        <f t="shared" si="2"/>
        <v>160.23984152099081</v>
      </c>
      <c r="L38" s="14">
        <f t="shared" si="3"/>
        <v>480.71952456297242</v>
      </c>
      <c r="M38" s="15">
        <f t="shared" si="4"/>
        <v>0.34281240270354568</v>
      </c>
      <c r="N38" s="16">
        <f t="shared" si="5"/>
        <v>0.13526438295312448</v>
      </c>
      <c r="O38" s="16">
        <f t="shared" si="6"/>
        <v>0</v>
      </c>
      <c r="P38" s="16">
        <f t="shared" si="7"/>
        <v>0</v>
      </c>
      <c r="Q38" s="17">
        <f t="shared" si="8"/>
        <v>0.13526438295312448</v>
      </c>
      <c r="R38" s="17">
        <f t="shared" si="9"/>
        <v>2.1642301272499918</v>
      </c>
      <c r="S38" s="14">
        <f t="shared" si="10"/>
        <v>325.61178691780361</v>
      </c>
      <c r="T38" s="67">
        <f t="shared" si="11"/>
        <v>138.59131548843607</v>
      </c>
      <c r="U38" s="12">
        <f t="shared" si="14"/>
        <v>29</v>
      </c>
      <c r="V38">
        <v>0.75</v>
      </c>
      <c r="W38" s="30">
        <f t="shared" si="12"/>
        <v>6.2924241597782888</v>
      </c>
      <c r="X38">
        <v>2</v>
      </c>
      <c r="Y38" s="48"/>
    </row>
    <row r="39" spans="1:27" ht="12.9" customHeight="1" x14ac:dyDescent="0.25">
      <c r="A39" s="12" t="s">
        <v>29</v>
      </c>
      <c r="B39" s="12">
        <f t="shared" si="13"/>
        <v>30</v>
      </c>
      <c r="C39" s="72">
        <v>1085</v>
      </c>
      <c r="D39" s="54">
        <f t="shared" si="15"/>
        <v>1085</v>
      </c>
      <c r="E39" s="13">
        <f t="shared" si="0"/>
        <v>42.716535433070867</v>
      </c>
      <c r="F39" s="45">
        <v>43</v>
      </c>
      <c r="G39" s="54">
        <v>0</v>
      </c>
      <c r="H39" s="13">
        <f t="shared" si="1"/>
        <v>19</v>
      </c>
      <c r="I39" s="54">
        <v>3</v>
      </c>
      <c r="J39" s="14">
        <v>0</v>
      </c>
      <c r="K39" s="14">
        <f t="shared" si="2"/>
        <v>167.59807519778607</v>
      </c>
      <c r="L39" s="14">
        <f t="shared" si="3"/>
        <v>502.79422559335819</v>
      </c>
      <c r="M39" s="15">
        <f t="shared" si="4"/>
        <v>0.35855439135289102</v>
      </c>
      <c r="N39" s="16">
        <f t="shared" si="5"/>
        <v>0.13878997001982807</v>
      </c>
      <c r="O39" s="16">
        <f t="shared" si="6"/>
        <v>0</v>
      </c>
      <c r="P39" s="16">
        <f t="shared" si="7"/>
        <v>0</v>
      </c>
      <c r="Q39" s="17">
        <f t="shared" si="8"/>
        <v>0.13878997001982807</v>
      </c>
      <c r="R39" s="17">
        <f t="shared" si="9"/>
        <v>2.2206395203172491</v>
      </c>
      <c r="S39" s="14">
        <f t="shared" si="10"/>
        <v>333.0039442977386</v>
      </c>
      <c r="T39" s="67">
        <f t="shared" si="11"/>
        <v>146.83238395870376</v>
      </c>
      <c r="U39" s="12">
        <f t="shared" si="14"/>
        <v>30</v>
      </c>
      <c r="V39">
        <v>0.75</v>
      </c>
      <c r="W39" s="30">
        <f t="shared" si="12"/>
        <v>6.5813730686243792</v>
      </c>
      <c r="X39">
        <v>2</v>
      </c>
      <c r="Y39" s="48"/>
      <c r="AA39" s="29"/>
    </row>
    <row r="40" spans="1:27" ht="12.9" customHeight="1" x14ac:dyDescent="0.25">
      <c r="A40" s="12" t="s">
        <v>30</v>
      </c>
      <c r="B40" s="12">
        <f t="shared" si="13"/>
        <v>31</v>
      </c>
      <c r="C40" s="72">
        <v>1040</v>
      </c>
      <c r="D40" s="54">
        <f t="shared" si="15"/>
        <v>1040</v>
      </c>
      <c r="E40" s="13">
        <f t="shared" si="0"/>
        <v>40.944881889763785</v>
      </c>
      <c r="F40" s="45">
        <v>43</v>
      </c>
      <c r="G40" s="14">
        <v>0</v>
      </c>
      <c r="H40" s="13">
        <f t="shared" si="1"/>
        <v>19</v>
      </c>
      <c r="I40" s="14">
        <v>3</v>
      </c>
      <c r="J40" s="14">
        <v>0</v>
      </c>
      <c r="K40" s="14">
        <f t="shared" si="2"/>
        <v>172.84144751224227</v>
      </c>
      <c r="L40" s="14">
        <f t="shared" si="3"/>
        <v>518.52434253672686</v>
      </c>
      <c r="M40" s="15">
        <f t="shared" si="4"/>
        <v>0.36977190782274172</v>
      </c>
      <c r="N40" s="16">
        <f t="shared" si="5"/>
        <v>0.14647786847570679</v>
      </c>
      <c r="O40" s="16">
        <f t="shared" si="6"/>
        <v>0</v>
      </c>
      <c r="P40" s="16">
        <f t="shared" si="7"/>
        <v>0</v>
      </c>
      <c r="Q40" s="17">
        <f t="shared" si="8"/>
        <v>0.14647786847570679</v>
      </c>
      <c r="R40" s="17">
        <f t="shared" si="9"/>
        <v>2.3436458956113086</v>
      </c>
      <c r="S40" s="14">
        <f t="shared" si="10"/>
        <v>338.17290767734005</v>
      </c>
      <c r="T40" s="67">
        <f t="shared" si="11"/>
        <v>155.56349186104046</v>
      </c>
      <c r="U40" s="12">
        <f t="shared" si="14"/>
        <v>31</v>
      </c>
      <c r="V40">
        <v>0.75</v>
      </c>
      <c r="W40" s="30">
        <f t="shared" si="12"/>
        <v>6.787273937703028</v>
      </c>
      <c r="X40">
        <v>2</v>
      </c>
    </row>
    <row r="41" spans="1:27" ht="12.9" customHeight="1" x14ac:dyDescent="0.25">
      <c r="A41" s="12" t="s">
        <v>31</v>
      </c>
      <c r="B41" s="12">
        <f t="shared" si="13"/>
        <v>32</v>
      </c>
      <c r="C41" s="72">
        <v>994</v>
      </c>
      <c r="D41" s="54">
        <f t="shared" si="15"/>
        <v>994</v>
      </c>
      <c r="E41" s="13">
        <f t="shared" si="0"/>
        <v>39.133858267716541</v>
      </c>
      <c r="F41" s="45">
        <v>41</v>
      </c>
      <c r="G41" s="14">
        <v>0</v>
      </c>
      <c r="H41" s="13">
        <f t="shared" si="1"/>
        <v>18</v>
      </c>
      <c r="I41" s="14">
        <v>3</v>
      </c>
      <c r="J41" s="14">
        <v>0</v>
      </c>
      <c r="K41" s="14">
        <f t="shared" si="2"/>
        <v>161.12259696660192</v>
      </c>
      <c r="L41" s="14">
        <f t="shared" si="3"/>
        <v>483.36779089980575</v>
      </c>
      <c r="M41" s="15">
        <f t="shared" si="4"/>
        <v>0.37915053239906243</v>
      </c>
      <c r="N41" s="16">
        <f t="shared" si="5"/>
        <v>0.1421736023229189</v>
      </c>
      <c r="O41" s="16">
        <f t="shared" si="6"/>
        <v>0</v>
      </c>
      <c r="P41" s="16">
        <f t="shared" si="7"/>
        <v>0</v>
      </c>
      <c r="Q41" s="17">
        <f t="shared" si="8"/>
        <v>0.1421736023229189</v>
      </c>
      <c r="R41" s="17">
        <f t="shared" si="9"/>
        <v>2.2747776371667023</v>
      </c>
      <c r="S41" s="14">
        <f t="shared" si="10"/>
        <v>311.3210539301574</v>
      </c>
      <c r="T41" s="67">
        <f t="shared" si="11"/>
        <v>164.81377845643499</v>
      </c>
      <c r="U41" s="12">
        <f t="shared" si="14"/>
        <v>32</v>
      </c>
      <c r="V41">
        <v>0.75</v>
      </c>
      <c r="W41" s="30">
        <f t="shared" si="12"/>
        <v>6.3270888950926434</v>
      </c>
      <c r="X41">
        <v>2</v>
      </c>
    </row>
    <row r="42" spans="1:27" ht="12.9" customHeight="1" x14ac:dyDescent="0.25">
      <c r="A42" s="12" t="s">
        <v>32</v>
      </c>
      <c r="B42" s="12">
        <f t="shared" si="13"/>
        <v>33</v>
      </c>
      <c r="C42" s="72">
        <v>948</v>
      </c>
      <c r="D42" s="54">
        <f t="shared" si="15"/>
        <v>948</v>
      </c>
      <c r="E42" s="13">
        <f t="shared" ref="E42:E73" si="16">Lmm/25.4</f>
        <v>37.322834645669296</v>
      </c>
      <c r="F42" s="45">
        <v>41</v>
      </c>
      <c r="G42" s="14">
        <v>0</v>
      </c>
      <c r="H42" s="13">
        <f t="shared" ref="H42:H73" si="17">IF(Dc=0," ",(Dc-5)/2)</f>
        <v>18</v>
      </c>
      <c r="I42" s="14">
        <v>3</v>
      </c>
      <c r="J42" s="14">
        <v>0</v>
      </c>
      <c r="K42" s="14">
        <f t="shared" ref="K42:K73" si="18">IF(Lin=0,0,IF(WM&gt;0,((Freq*Lin*Dc)/20833)^2*(1+(WM*0.01)*(Dw^2/Dc^2-1)),((Freq*Lin*Dc)/20833)^2))</f>
        <v>164.50231916019916</v>
      </c>
      <c r="L42" s="14">
        <f t="shared" ref="L42:L73" si="19">IF(Lin=0,0,T*Ns)</f>
        <v>493.50695748059752</v>
      </c>
      <c r="M42" s="15">
        <f t="shared" ref="M42:M73" si="20">IF(Dc=0, 0,T/(0.2528*Dc^2))</f>
        <v>0.38710362832221806</v>
      </c>
      <c r="N42" s="16">
        <f t="shared" ref="N42:N73" si="21">IF(Dc=0,0,(333.8*Dc*0.001)^4/(T*Lin^2))</f>
        <v>0.15309446512362823</v>
      </c>
      <c r="O42" s="16">
        <f t="shared" ref="O42:O73" si="22" xml:space="preserve"> IF(WM=0,0,0.287*(((Dw*0.001)^2-(Dc*0.001)^2)/((Dw*0.001)^2+0.12*(Dc*0.001)^2))*(4*SIN(4*PI()*0.5/Lin)-SIN(16*PI()*0.5/Lin)))</f>
        <v>0</v>
      </c>
      <c r="P42" s="16">
        <f t="shared" ref="P42:P73" si="23" xml:space="preserve"> IF(Ns=1,(0.287*(((Dw*0.001)^2-(Dc*0.001)^2)/((Dw*0.001)^2+0.12*(Dc*0.001)^2))*(4*SIN(4*PI()*1/Lin)-SIN(16*PI()*1/Lin)-4*SIN(4*PI()*0.5/Lin) + SIN(16*PI()*0.5/Lin))),0)</f>
        <v>0</v>
      </c>
      <c r="Q42" s="17">
        <f t="shared" ref="Q42:Q73" si="24">IF(Dc=0,0,(Icore+Iend+Istep))</f>
        <v>0.15309446512362823</v>
      </c>
      <c r="R42" s="17">
        <f t="shared" ref="R42:R73" si="25">IF(Dc=0,0,Ic*(4^2))</f>
        <v>2.4495114419780517</v>
      </c>
      <c r="S42" s="14">
        <f t="shared" ref="S42:S73" si="26">IF(Dw=0,(Ns*Dc*0.001994*(T)^0.5)*100,((((Ns*(0.00876*PI()*(Dc/2000)^2*T)+(((Dw/2000)^2)-((Dc/2000)^2))*PI()*0.0065*(T*0.00316))^0.5*4120)+((Ns*((Dw*0.001994*0.89)+(Dc*0.001994*0.11))*(T)^0.5)*100))/2))</f>
        <v>314.56925799292492</v>
      </c>
      <c r="T42" s="67">
        <f t="shared" ref="T42:T73" si="27">(fork/16)*2^((Un-1)/12)</f>
        <v>174.61411571650194</v>
      </c>
      <c r="U42" s="12">
        <f t="shared" si="14"/>
        <v>33</v>
      </c>
      <c r="V42">
        <v>0.75</v>
      </c>
      <c r="W42" s="30">
        <f t="shared" ref="W42:W73" si="28">SIN(RADIANS(V$10:V$65536))*Tu</f>
        <v>6.4598064850656991</v>
      </c>
      <c r="X42">
        <v>3</v>
      </c>
    </row>
    <row r="43" spans="1:27" ht="12.9" customHeight="1" x14ac:dyDescent="0.25">
      <c r="A43" s="11" t="s">
        <v>33</v>
      </c>
      <c r="B43" s="12">
        <f t="shared" ref="B43:B74" si="29">B42+1</f>
        <v>34</v>
      </c>
      <c r="C43" s="72">
        <v>900</v>
      </c>
      <c r="D43" s="54">
        <f t="shared" si="15"/>
        <v>900</v>
      </c>
      <c r="E43" s="13">
        <f t="shared" si="16"/>
        <v>35.433070866141733</v>
      </c>
      <c r="F43" s="45">
        <v>41</v>
      </c>
      <c r="G43" s="14">
        <v>0</v>
      </c>
      <c r="H43" s="13">
        <f t="shared" si="17"/>
        <v>18</v>
      </c>
      <c r="I43" s="14">
        <v>3</v>
      </c>
      <c r="J43" s="14">
        <v>0</v>
      </c>
      <c r="K43" s="14">
        <f t="shared" si="18"/>
        <v>166.42249750098088</v>
      </c>
      <c r="L43" s="14">
        <f t="shared" si="19"/>
        <v>499.26749250294267</v>
      </c>
      <c r="M43" s="15">
        <f t="shared" si="20"/>
        <v>0.39162215430128633</v>
      </c>
      <c r="N43" s="16">
        <f t="shared" si="21"/>
        <v>0.16790016983469386</v>
      </c>
      <c r="O43" s="16">
        <f t="shared" si="22"/>
        <v>0</v>
      </c>
      <c r="P43" s="16">
        <f t="shared" si="23"/>
        <v>0</v>
      </c>
      <c r="Q43" s="17">
        <f t="shared" si="24"/>
        <v>0.16790016983469386</v>
      </c>
      <c r="R43" s="17">
        <f t="shared" si="25"/>
        <v>2.6864027173551017</v>
      </c>
      <c r="S43" s="14">
        <f t="shared" si="26"/>
        <v>316.39986025015043</v>
      </c>
      <c r="T43" s="67">
        <f t="shared" si="27"/>
        <v>184.99721135581723</v>
      </c>
      <c r="U43" s="12">
        <f t="shared" si="14"/>
        <v>34</v>
      </c>
      <c r="V43">
        <v>0.75</v>
      </c>
      <c r="W43" s="30">
        <f t="shared" si="28"/>
        <v>6.5352095587827623</v>
      </c>
      <c r="X43">
        <v>3</v>
      </c>
    </row>
    <row r="44" spans="1:27" ht="12.9" customHeight="1" x14ac:dyDescent="0.25">
      <c r="A44" s="11" t="s">
        <v>34</v>
      </c>
      <c r="B44" s="12">
        <f t="shared" si="29"/>
        <v>35</v>
      </c>
      <c r="C44" s="72">
        <v>850</v>
      </c>
      <c r="D44" s="54">
        <f t="shared" si="15"/>
        <v>850</v>
      </c>
      <c r="E44" s="13">
        <f t="shared" si="16"/>
        <v>33.464566929133859</v>
      </c>
      <c r="F44" s="45">
        <v>41</v>
      </c>
      <c r="G44" s="14">
        <v>0</v>
      </c>
      <c r="H44" s="13">
        <f t="shared" si="17"/>
        <v>18</v>
      </c>
      <c r="I44" s="14">
        <v>3</v>
      </c>
      <c r="J44" s="14">
        <v>0</v>
      </c>
      <c r="K44" s="14">
        <f t="shared" si="18"/>
        <v>166.62360776909529</v>
      </c>
      <c r="L44" s="14">
        <f t="shared" si="19"/>
        <v>499.87082330728583</v>
      </c>
      <c r="M44" s="15">
        <f t="shared" si="20"/>
        <v>0.39209540303648577</v>
      </c>
      <c r="N44" s="16">
        <f t="shared" si="21"/>
        <v>0.18800690687884283</v>
      </c>
      <c r="O44" s="16">
        <f t="shared" si="22"/>
        <v>0</v>
      </c>
      <c r="P44" s="16">
        <f t="shared" si="23"/>
        <v>0</v>
      </c>
      <c r="Q44" s="17">
        <f t="shared" si="24"/>
        <v>0.18800690687884283</v>
      </c>
      <c r="R44" s="17">
        <f t="shared" si="25"/>
        <v>3.0081105100614853</v>
      </c>
      <c r="S44" s="14">
        <f t="shared" si="26"/>
        <v>316.59097638461321</v>
      </c>
      <c r="T44" s="67">
        <f t="shared" si="27"/>
        <v>195.99771799087463</v>
      </c>
      <c r="U44" s="12">
        <f t="shared" si="14"/>
        <v>35</v>
      </c>
      <c r="V44">
        <v>0.75</v>
      </c>
      <c r="W44" s="30">
        <f t="shared" si="28"/>
        <v>6.543106915007348</v>
      </c>
      <c r="X44">
        <v>3</v>
      </c>
    </row>
    <row r="45" spans="1:27" ht="12.9" customHeight="1" x14ac:dyDescent="0.25">
      <c r="A45" s="11" t="s">
        <v>35</v>
      </c>
      <c r="B45" s="12">
        <f t="shared" si="29"/>
        <v>36</v>
      </c>
      <c r="C45" s="72">
        <v>803</v>
      </c>
      <c r="D45" s="54">
        <f t="shared" si="15"/>
        <v>803</v>
      </c>
      <c r="E45" s="13">
        <f t="shared" si="16"/>
        <v>31.614173228346459</v>
      </c>
      <c r="F45" s="45">
        <v>39</v>
      </c>
      <c r="G45" s="14">
        <v>0</v>
      </c>
      <c r="H45" s="13">
        <f t="shared" si="17"/>
        <v>17</v>
      </c>
      <c r="I45" s="14">
        <v>3</v>
      </c>
      <c r="J45" s="14">
        <v>0</v>
      </c>
      <c r="K45" s="14">
        <f t="shared" si="18"/>
        <v>151.02990157079358</v>
      </c>
      <c r="L45" s="14">
        <f t="shared" si="19"/>
        <v>453.08970471238075</v>
      </c>
      <c r="M45" s="15">
        <f t="shared" si="20"/>
        <v>0.39278659310474445</v>
      </c>
      <c r="N45" s="16">
        <f t="shared" si="21"/>
        <v>0.1902729978659439</v>
      </c>
      <c r="O45" s="16">
        <f t="shared" si="22"/>
        <v>0</v>
      </c>
      <c r="P45" s="16">
        <f t="shared" si="23"/>
        <v>0</v>
      </c>
      <c r="Q45" s="17">
        <f t="shared" si="24"/>
        <v>0.1902729978659439</v>
      </c>
      <c r="R45" s="17">
        <f t="shared" si="25"/>
        <v>3.0443679658551024</v>
      </c>
      <c r="S45" s="14">
        <f t="shared" si="26"/>
        <v>286.70976542154131</v>
      </c>
      <c r="T45" s="67">
        <f t="shared" si="27"/>
        <v>207.65234878997251</v>
      </c>
      <c r="U45" s="12">
        <f t="shared" si="14"/>
        <v>36</v>
      </c>
      <c r="V45">
        <v>0.75</v>
      </c>
      <c r="W45" s="30">
        <f t="shared" si="28"/>
        <v>5.9307609922249398</v>
      </c>
      <c r="X45">
        <v>3</v>
      </c>
    </row>
    <row r="46" spans="1:27" ht="12.9" customHeight="1" x14ac:dyDescent="0.25">
      <c r="A46" s="11" t="s">
        <v>36</v>
      </c>
      <c r="B46" s="12">
        <f t="shared" si="29"/>
        <v>37</v>
      </c>
      <c r="C46" s="72">
        <v>756</v>
      </c>
      <c r="D46" s="54">
        <f t="shared" si="15"/>
        <v>756</v>
      </c>
      <c r="E46" s="13">
        <f t="shared" si="16"/>
        <v>29.763779527559056</v>
      </c>
      <c r="F46" s="45">
        <v>39</v>
      </c>
      <c r="G46" s="14">
        <v>0</v>
      </c>
      <c r="H46" s="13">
        <f t="shared" si="17"/>
        <v>17</v>
      </c>
      <c r="I46" s="14">
        <v>3</v>
      </c>
      <c r="J46" s="14">
        <v>0</v>
      </c>
      <c r="K46" s="14">
        <f t="shared" si="18"/>
        <v>150.26128750476812</v>
      </c>
      <c r="L46" s="14">
        <f t="shared" si="19"/>
        <v>450.78386251430436</v>
      </c>
      <c r="M46" s="15">
        <f t="shared" si="20"/>
        <v>0.39078764258390991</v>
      </c>
      <c r="N46" s="16">
        <f t="shared" si="21"/>
        <v>0.2157647497765697</v>
      </c>
      <c r="O46" s="16">
        <f t="shared" si="22"/>
        <v>0</v>
      </c>
      <c r="P46" s="16">
        <f t="shared" si="23"/>
        <v>0</v>
      </c>
      <c r="Q46" s="17">
        <f t="shared" si="24"/>
        <v>0.2157647497765697</v>
      </c>
      <c r="R46" s="17">
        <f t="shared" si="25"/>
        <v>3.4522359964251152</v>
      </c>
      <c r="S46" s="14">
        <f t="shared" si="26"/>
        <v>285.97928011698582</v>
      </c>
      <c r="T46" s="67">
        <f t="shared" si="27"/>
        <v>220</v>
      </c>
      <c r="U46" s="12">
        <f t="shared" si="14"/>
        <v>37</v>
      </c>
      <c r="V46">
        <v>0.75</v>
      </c>
      <c r="W46" s="30">
        <f t="shared" si="28"/>
        <v>5.9005784504007801</v>
      </c>
      <c r="X46">
        <v>4</v>
      </c>
    </row>
    <row r="47" spans="1:27" ht="12.9" customHeight="1" x14ac:dyDescent="0.25">
      <c r="A47" s="11" t="s">
        <v>37</v>
      </c>
      <c r="B47" s="12">
        <f t="shared" si="29"/>
        <v>38</v>
      </c>
      <c r="C47" s="72">
        <v>713</v>
      </c>
      <c r="D47" s="54">
        <f t="shared" si="15"/>
        <v>713</v>
      </c>
      <c r="E47" s="13">
        <f t="shared" si="16"/>
        <v>28.070866141732285</v>
      </c>
      <c r="F47" s="45">
        <v>39</v>
      </c>
      <c r="G47" s="14">
        <v>0</v>
      </c>
      <c r="H47" s="13">
        <f t="shared" si="17"/>
        <v>17</v>
      </c>
      <c r="I47" s="14">
        <v>3</v>
      </c>
      <c r="J47" s="14">
        <v>0</v>
      </c>
      <c r="K47" s="14">
        <f t="shared" si="18"/>
        <v>150.0217545599734</v>
      </c>
      <c r="L47" s="14">
        <f t="shared" si="19"/>
        <v>450.06526367992024</v>
      </c>
      <c r="M47" s="15">
        <f t="shared" si="20"/>
        <v>0.39016468429324214</v>
      </c>
      <c r="N47" s="16">
        <f t="shared" si="21"/>
        <v>0.24296174081119204</v>
      </c>
      <c r="O47" s="16">
        <f t="shared" si="22"/>
        <v>0</v>
      </c>
      <c r="P47" s="16">
        <f t="shared" si="23"/>
        <v>0</v>
      </c>
      <c r="Q47" s="17">
        <f t="shared" si="24"/>
        <v>0.24296174081119204</v>
      </c>
      <c r="R47" s="17">
        <f t="shared" si="25"/>
        <v>3.8873878529790726</v>
      </c>
      <c r="S47" s="14">
        <f t="shared" si="26"/>
        <v>285.75124806115059</v>
      </c>
      <c r="T47" s="67">
        <f t="shared" si="27"/>
        <v>233.08188075904496</v>
      </c>
      <c r="U47" s="12">
        <f t="shared" si="14"/>
        <v>38</v>
      </c>
      <c r="V47">
        <v>0.75</v>
      </c>
      <c r="W47" s="30">
        <f t="shared" si="28"/>
        <v>5.8911722822806523</v>
      </c>
      <c r="X47">
        <v>4</v>
      </c>
    </row>
    <row r="48" spans="1:27" ht="12.9" customHeight="1" x14ac:dyDescent="0.25">
      <c r="A48" s="11" t="s">
        <v>38</v>
      </c>
      <c r="B48" s="12">
        <f t="shared" si="29"/>
        <v>39</v>
      </c>
      <c r="C48" s="72">
        <v>675</v>
      </c>
      <c r="D48" s="54">
        <f t="shared" si="15"/>
        <v>675</v>
      </c>
      <c r="E48" s="13">
        <f t="shared" si="16"/>
        <v>26.5748031496063</v>
      </c>
      <c r="F48" s="45">
        <v>39</v>
      </c>
      <c r="G48" s="14">
        <v>0</v>
      </c>
      <c r="H48" s="13">
        <f t="shared" si="17"/>
        <v>17</v>
      </c>
      <c r="I48" s="14">
        <v>3</v>
      </c>
      <c r="J48" s="14">
        <v>0</v>
      </c>
      <c r="K48" s="14">
        <f t="shared" si="18"/>
        <v>150.9226395978657</v>
      </c>
      <c r="L48" s="14">
        <f t="shared" si="19"/>
        <v>452.76791879359712</v>
      </c>
      <c r="M48" s="15">
        <f t="shared" si="20"/>
        <v>0.39250763467017052</v>
      </c>
      <c r="N48" s="16">
        <f t="shared" si="21"/>
        <v>0.26946927429089046</v>
      </c>
      <c r="O48" s="16">
        <f t="shared" si="22"/>
        <v>0</v>
      </c>
      <c r="P48" s="16">
        <f t="shared" si="23"/>
        <v>0</v>
      </c>
      <c r="Q48" s="17">
        <f t="shared" si="24"/>
        <v>0.26946927429089046</v>
      </c>
      <c r="R48" s="17">
        <f t="shared" si="25"/>
        <v>4.3115083886542473</v>
      </c>
      <c r="S48" s="14">
        <f t="shared" si="26"/>
        <v>286.60793619120693</v>
      </c>
      <c r="T48" s="67">
        <f t="shared" si="27"/>
        <v>246.94165062806198</v>
      </c>
      <c r="U48" s="12">
        <f t="shared" si="14"/>
        <v>39</v>
      </c>
      <c r="V48">
        <v>0.75</v>
      </c>
      <c r="W48" s="30">
        <f t="shared" si="28"/>
        <v>5.9265489446875081</v>
      </c>
      <c r="X48">
        <v>4</v>
      </c>
    </row>
    <row r="49" spans="1:24" ht="12.9" customHeight="1" x14ac:dyDescent="0.25">
      <c r="A49" s="11" t="s">
        <v>39</v>
      </c>
      <c r="B49" s="12">
        <f t="shared" si="29"/>
        <v>40</v>
      </c>
      <c r="C49" s="72">
        <v>639</v>
      </c>
      <c r="D49" s="54">
        <f t="shared" si="15"/>
        <v>639</v>
      </c>
      <c r="E49" s="13">
        <f t="shared" si="16"/>
        <v>25.15748031496063</v>
      </c>
      <c r="F49" s="45">
        <v>39</v>
      </c>
      <c r="G49" s="14">
        <v>0</v>
      </c>
      <c r="H49" s="13">
        <f t="shared" si="17"/>
        <v>17</v>
      </c>
      <c r="I49" s="14">
        <v>3</v>
      </c>
      <c r="J49" s="14">
        <v>0</v>
      </c>
      <c r="K49" s="14">
        <f t="shared" si="18"/>
        <v>151.8169383535535</v>
      </c>
      <c r="L49" s="14">
        <f t="shared" si="19"/>
        <v>455.45081506066049</v>
      </c>
      <c r="M49" s="15">
        <f t="shared" si="20"/>
        <v>0.3948334559665565</v>
      </c>
      <c r="N49" s="16">
        <f t="shared" si="21"/>
        <v>0.29891605745701577</v>
      </c>
      <c r="O49" s="16">
        <f t="shared" si="22"/>
        <v>0</v>
      </c>
      <c r="P49" s="16">
        <f t="shared" si="23"/>
        <v>0</v>
      </c>
      <c r="Q49" s="17">
        <f t="shared" si="24"/>
        <v>0.29891605745701577</v>
      </c>
      <c r="R49" s="17">
        <f t="shared" si="25"/>
        <v>4.7826569193122523</v>
      </c>
      <c r="S49" s="14">
        <f t="shared" si="26"/>
        <v>287.45583596133059</v>
      </c>
      <c r="T49" s="67">
        <f t="shared" si="27"/>
        <v>261.62556530059857</v>
      </c>
      <c r="U49" s="12">
        <f t="shared" si="14"/>
        <v>40</v>
      </c>
      <c r="V49">
        <v>0.75</v>
      </c>
      <c r="W49" s="30">
        <f t="shared" si="28"/>
        <v>5.961666971783238</v>
      </c>
      <c r="X49">
        <v>4</v>
      </c>
    </row>
    <row r="50" spans="1:24" ht="12.9" customHeight="1" x14ac:dyDescent="0.25">
      <c r="A50" s="11" t="s">
        <v>40</v>
      </c>
      <c r="B50" s="12">
        <f t="shared" si="29"/>
        <v>41</v>
      </c>
      <c r="C50" s="72">
        <v>604</v>
      </c>
      <c r="D50" s="54">
        <f t="shared" si="15"/>
        <v>604</v>
      </c>
      <c r="E50" s="13">
        <f t="shared" si="16"/>
        <v>23.779527559055119</v>
      </c>
      <c r="F50" s="45">
        <v>39</v>
      </c>
      <c r="G50" s="14">
        <v>0</v>
      </c>
      <c r="H50" s="13">
        <f t="shared" si="17"/>
        <v>17</v>
      </c>
      <c r="I50" s="14">
        <v>3</v>
      </c>
      <c r="J50" s="14">
        <v>0</v>
      </c>
      <c r="K50" s="14">
        <f t="shared" si="18"/>
        <v>152.25236791869256</v>
      </c>
      <c r="L50" s="14">
        <f t="shared" si="19"/>
        <v>456.75710375607764</v>
      </c>
      <c r="M50" s="15">
        <f t="shared" si="20"/>
        <v>0.39596588665511046</v>
      </c>
      <c r="N50" s="16">
        <f t="shared" si="21"/>
        <v>0.33360554276890531</v>
      </c>
      <c r="O50" s="16">
        <f t="shared" si="22"/>
        <v>0</v>
      </c>
      <c r="P50" s="16">
        <f t="shared" si="23"/>
        <v>0</v>
      </c>
      <c r="Q50" s="17">
        <f t="shared" si="24"/>
        <v>0.33360554276890531</v>
      </c>
      <c r="R50" s="17">
        <f t="shared" si="25"/>
        <v>5.3376886843024849</v>
      </c>
      <c r="S50" s="14">
        <f t="shared" si="26"/>
        <v>287.86777006787878</v>
      </c>
      <c r="T50" s="67">
        <f t="shared" si="27"/>
        <v>277.18263097687208</v>
      </c>
      <c r="U50" s="12">
        <f t="shared" si="14"/>
        <v>41</v>
      </c>
      <c r="V50">
        <v>0.75</v>
      </c>
      <c r="W50" s="30">
        <f t="shared" si="28"/>
        <v>5.9787657625056676</v>
      </c>
      <c r="X50">
        <v>5</v>
      </c>
    </row>
    <row r="51" spans="1:24" ht="12.9" customHeight="1" x14ac:dyDescent="0.25">
      <c r="A51" s="11" t="s">
        <v>41</v>
      </c>
      <c r="B51" s="12">
        <f t="shared" si="29"/>
        <v>42</v>
      </c>
      <c r="C51" s="72">
        <v>572</v>
      </c>
      <c r="D51" s="54">
        <f t="shared" si="15"/>
        <v>572</v>
      </c>
      <c r="E51" s="13">
        <f t="shared" si="16"/>
        <v>22.519685039370081</v>
      </c>
      <c r="F51" s="45">
        <v>39</v>
      </c>
      <c r="G51" s="14">
        <v>0</v>
      </c>
      <c r="H51" s="13">
        <f t="shared" si="17"/>
        <v>17</v>
      </c>
      <c r="I51" s="14">
        <v>3</v>
      </c>
      <c r="J51" s="14">
        <v>0</v>
      </c>
      <c r="K51" s="14">
        <f t="shared" si="18"/>
        <v>153.26885113433127</v>
      </c>
      <c r="L51" s="14">
        <f t="shared" si="19"/>
        <v>459.80655340299381</v>
      </c>
      <c r="M51" s="15">
        <f t="shared" si="20"/>
        <v>0.39860947560714149</v>
      </c>
      <c r="N51" s="16">
        <f t="shared" si="21"/>
        <v>0.36950917890036633</v>
      </c>
      <c r="O51" s="16">
        <f t="shared" si="22"/>
        <v>0</v>
      </c>
      <c r="P51" s="16">
        <f t="shared" si="23"/>
        <v>0</v>
      </c>
      <c r="Q51" s="17">
        <f t="shared" si="24"/>
        <v>0.36950917890036633</v>
      </c>
      <c r="R51" s="17">
        <f t="shared" si="25"/>
        <v>5.9121468624058613</v>
      </c>
      <c r="S51" s="14">
        <f t="shared" si="26"/>
        <v>288.82711799514408</v>
      </c>
      <c r="T51" s="67">
        <f t="shared" si="27"/>
        <v>293.66476791740746</v>
      </c>
      <c r="U51" s="12">
        <f t="shared" si="14"/>
        <v>42</v>
      </c>
      <c r="V51">
        <v>0.75</v>
      </c>
      <c r="W51" s="30">
        <f t="shared" si="28"/>
        <v>6.0186818250989793</v>
      </c>
      <c r="X51">
        <v>5</v>
      </c>
    </row>
    <row r="52" spans="1:24" ht="12.9" customHeight="1" x14ac:dyDescent="0.25">
      <c r="A52" s="11" t="s">
        <v>42</v>
      </c>
      <c r="B52" s="12">
        <f t="shared" si="29"/>
        <v>43</v>
      </c>
      <c r="C52" s="72">
        <v>542</v>
      </c>
      <c r="D52" s="54">
        <f t="shared" si="15"/>
        <v>542</v>
      </c>
      <c r="E52" s="13">
        <f t="shared" si="16"/>
        <v>21.338582677165356</v>
      </c>
      <c r="F52" s="45">
        <v>39</v>
      </c>
      <c r="G52" s="14">
        <v>0</v>
      </c>
      <c r="H52" s="13">
        <f t="shared" si="17"/>
        <v>17</v>
      </c>
      <c r="I52" s="14">
        <v>3</v>
      </c>
      <c r="J52" s="14">
        <v>0</v>
      </c>
      <c r="K52" s="14">
        <f t="shared" si="18"/>
        <v>154.46570946554789</v>
      </c>
      <c r="L52" s="14">
        <f t="shared" si="19"/>
        <v>463.39712839664367</v>
      </c>
      <c r="M52" s="15">
        <f t="shared" si="20"/>
        <v>0.40172216985813552</v>
      </c>
      <c r="N52" s="16">
        <f t="shared" si="21"/>
        <v>0.40835749792652071</v>
      </c>
      <c r="O52" s="16">
        <f t="shared" si="22"/>
        <v>0</v>
      </c>
      <c r="P52" s="16">
        <f t="shared" si="23"/>
        <v>0</v>
      </c>
      <c r="Q52" s="17">
        <f t="shared" si="24"/>
        <v>0.40835749792652071</v>
      </c>
      <c r="R52" s="17">
        <f t="shared" si="25"/>
        <v>6.5337199668243313</v>
      </c>
      <c r="S52" s="14">
        <f t="shared" si="26"/>
        <v>289.95263341604704</v>
      </c>
      <c r="T52" s="67">
        <f t="shared" si="27"/>
        <v>311.12698372208087</v>
      </c>
      <c r="U52" s="12">
        <f t="shared" si="14"/>
        <v>43</v>
      </c>
      <c r="V52">
        <v>0.75</v>
      </c>
      <c r="W52" s="30">
        <f t="shared" si="28"/>
        <v>6.0656809996344387</v>
      </c>
      <c r="X52">
        <v>5</v>
      </c>
    </row>
    <row r="53" spans="1:24" ht="12.9" customHeight="1" x14ac:dyDescent="0.25">
      <c r="A53" s="11" t="s">
        <v>43</v>
      </c>
      <c r="B53" s="12">
        <f t="shared" si="29"/>
        <v>44</v>
      </c>
      <c r="C53" s="72">
        <v>514</v>
      </c>
      <c r="D53" s="54">
        <f t="shared" si="15"/>
        <v>514</v>
      </c>
      <c r="E53" s="13">
        <f t="shared" si="16"/>
        <v>20.236220472440944</v>
      </c>
      <c r="F53" s="45">
        <v>39</v>
      </c>
      <c r="G53" s="14">
        <v>0</v>
      </c>
      <c r="H53" s="13">
        <f t="shared" si="17"/>
        <v>17</v>
      </c>
      <c r="I53" s="14">
        <v>3</v>
      </c>
      <c r="J53" s="14">
        <v>0</v>
      </c>
      <c r="K53" s="14">
        <f t="shared" si="18"/>
        <v>155.93062310143509</v>
      </c>
      <c r="L53" s="14">
        <f t="shared" si="19"/>
        <v>467.79186930430524</v>
      </c>
      <c r="M53" s="15">
        <f t="shared" si="20"/>
        <v>0.40553200109187376</v>
      </c>
      <c r="N53" s="16">
        <f t="shared" si="21"/>
        <v>0.44979387622819705</v>
      </c>
      <c r="O53" s="16">
        <f t="shared" si="22"/>
        <v>0</v>
      </c>
      <c r="P53" s="16">
        <f t="shared" si="23"/>
        <v>0</v>
      </c>
      <c r="Q53" s="17">
        <f t="shared" si="24"/>
        <v>0.44979387622819705</v>
      </c>
      <c r="R53" s="17">
        <f t="shared" si="25"/>
        <v>7.1967020196511529</v>
      </c>
      <c r="S53" s="14">
        <f t="shared" si="26"/>
        <v>291.32430757809612</v>
      </c>
      <c r="T53" s="67">
        <f t="shared" si="27"/>
        <v>329.62755691286992</v>
      </c>
      <c r="U53" s="12">
        <f t="shared" si="14"/>
        <v>44</v>
      </c>
      <c r="V53">
        <v>0.75</v>
      </c>
      <c r="W53" s="30">
        <f t="shared" si="28"/>
        <v>6.1232063807565718</v>
      </c>
      <c r="X53">
        <v>5</v>
      </c>
    </row>
    <row r="54" spans="1:24" ht="12.9" customHeight="1" x14ac:dyDescent="0.25">
      <c r="A54" s="11" t="s">
        <v>44</v>
      </c>
      <c r="B54" s="12">
        <f t="shared" si="29"/>
        <v>45</v>
      </c>
      <c r="C54" s="72">
        <v>485</v>
      </c>
      <c r="D54" s="54">
        <f t="shared" si="15"/>
        <v>485</v>
      </c>
      <c r="E54" s="13">
        <f t="shared" si="16"/>
        <v>19.094488188976378</v>
      </c>
      <c r="F54" s="45">
        <v>39</v>
      </c>
      <c r="G54" s="14">
        <v>0</v>
      </c>
      <c r="H54" s="13">
        <f t="shared" si="17"/>
        <v>17</v>
      </c>
      <c r="I54" s="14">
        <v>3</v>
      </c>
      <c r="J54" s="14">
        <v>0</v>
      </c>
      <c r="K54" s="14">
        <f t="shared" si="18"/>
        <v>155.83331862565913</v>
      </c>
      <c r="L54" s="14">
        <f t="shared" si="19"/>
        <v>467.49995587697742</v>
      </c>
      <c r="M54" s="15">
        <f t="shared" si="20"/>
        <v>0.40527893932637982</v>
      </c>
      <c r="N54" s="16">
        <f t="shared" si="21"/>
        <v>0.50550725626030835</v>
      </c>
      <c r="O54" s="16">
        <f t="shared" si="22"/>
        <v>0</v>
      </c>
      <c r="P54" s="16">
        <f t="shared" si="23"/>
        <v>0</v>
      </c>
      <c r="Q54" s="17">
        <f t="shared" si="24"/>
        <v>0.50550725626030835</v>
      </c>
      <c r="R54" s="17">
        <f t="shared" si="25"/>
        <v>8.0881161001649335</v>
      </c>
      <c r="S54" s="14">
        <f t="shared" si="26"/>
        <v>291.23339669037523</v>
      </c>
      <c r="T54" s="67">
        <f t="shared" si="27"/>
        <v>349.22823143300383</v>
      </c>
      <c r="U54" s="12">
        <f t="shared" si="14"/>
        <v>45</v>
      </c>
      <c r="V54">
        <v>0.75</v>
      </c>
      <c r="W54" s="30">
        <f t="shared" si="28"/>
        <v>6.1193853520510055</v>
      </c>
      <c r="X54">
        <v>5</v>
      </c>
    </row>
    <row r="55" spans="1:24" ht="12.9" customHeight="1" x14ac:dyDescent="0.25">
      <c r="A55" s="12" t="s">
        <v>45</v>
      </c>
      <c r="B55" s="12">
        <f t="shared" si="29"/>
        <v>46</v>
      </c>
      <c r="C55" s="72">
        <v>459</v>
      </c>
      <c r="D55" s="54">
        <f t="shared" si="15"/>
        <v>459</v>
      </c>
      <c r="E55" s="13">
        <f t="shared" si="16"/>
        <v>18.070866141732285</v>
      </c>
      <c r="F55" s="45">
        <v>39</v>
      </c>
      <c r="G55" s="14">
        <v>0</v>
      </c>
      <c r="H55" s="13">
        <f t="shared" si="17"/>
        <v>17</v>
      </c>
      <c r="I55" s="14">
        <v>3</v>
      </c>
      <c r="J55" s="14">
        <v>0</v>
      </c>
      <c r="K55" s="14">
        <f t="shared" si="18"/>
        <v>156.66568405379607</v>
      </c>
      <c r="L55" s="14">
        <f t="shared" si="19"/>
        <v>469.99705216138818</v>
      </c>
      <c r="M55" s="15">
        <f t="shared" si="20"/>
        <v>0.40744368933505826</v>
      </c>
      <c r="N55" s="16">
        <f t="shared" si="21"/>
        <v>0.56139939507158376</v>
      </c>
      <c r="O55" s="16">
        <f t="shared" si="22"/>
        <v>0</v>
      </c>
      <c r="P55" s="16">
        <f t="shared" si="23"/>
        <v>0</v>
      </c>
      <c r="Q55" s="17">
        <f t="shared" si="24"/>
        <v>0.56139939507158376</v>
      </c>
      <c r="R55" s="17">
        <f t="shared" si="25"/>
        <v>8.9823903211453402</v>
      </c>
      <c r="S55" s="14">
        <f t="shared" si="26"/>
        <v>292.01015537732798</v>
      </c>
      <c r="T55" s="67">
        <f t="shared" si="27"/>
        <v>369.9944227116344</v>
      </c>
      <c r="U55" s="12">
        <f t="shared" si="14"/>
        <v>46</v>
      </c>
      <c r="V55">
        <v>0.75</v>
      </c>
      <c r="W55" s="30">
        <f t="shared" si="28"/>
        <v>6.1520713325166492</v>
      </c>
      <c r="X55">
        <v>6</v>
      </c>
    </row>
    <row r="56" spans="1:24" ht="12.9" customHeight="1" x14ac:dyDescent="0.25">
      <c r="A56" s="11" t="s">
        <v>46</v>
      </c>
      <c r="B56" s="12">
        <f t="shared" si="29"/>
        <v>47</v>
      </c>
      <c r="C56" s="72">
        <v>437</v>
      </c>
      <c r="D56" s="54">
        <f t="shared" si="15"/>
        <v>437</v>
      </c>
      <c r="E56" s="13">
        <f t="shared" si="16"/>
        <v>17.204724409448819</v>
      </c>
      <c r="F56" s="45">
        <v>39</v>
      </c>
      <c r="G56" s="14">
        <v>0</v>
      </c>
      <c r="H56" s="13">
        <f t="shared" si="17"/>
        <v>17</v>
      </c>
      <c r="I56" s="14">
        <v>3</v>
      </c>
      <c r="J56" s="14">
        <v>0</v>
      </c>
      <c r="K56" s="14">
        <f t="shared" si="18"/>
        <v>159.39806614328754</v>
      </c>
      <c r="L56" s="14">
        <f t="shared" si="19"/>
        <v>478.19419842986258</v>
      </c>
      <c r="M56" s="15">
        <f t="shared" si="20"/>
        <v>0.41454985202754141</v>
      </c>
      <c r="N56" s="16">
        <f t="shared" si="21"/>
        <v>0.60873078922539658</v>
      </c>
      <c r="O56" s="16">
        <f t="shared" si="22"/>
        <v>0</v>
      </c>
      <c r="P56" s="16">
        <f t="shared" si="23"/>
        <v>0</v>
      </c>
      <c r="Q56" s="17">
        <f t="shared" si="24"/>
        <v>0.60873078922539658</v>
      </c>
      <c r="R56" s="17">
        <f t="shared" si="25"/>
        <v>9.7396926276063454</v>
      </c>
      <c r="S56" s="14">
        <f t="shared" si="26"/>
        <v>294.54560018251829</v>
      </c>
      <c r="T56" s="67">
        <f t="shared" si="27"/>
        <v>391.99543598174932</v>
      </c>
      <c r="U56" s="12">
        <f t="shared" si="14"/>
        <v>47</v>
      </c>
      <c r="V56">
        <v>0.75</v>
      </c>
      <c r="W56" s="30">
        <f t="shared" si="28"/>
        <v>6.2593686620101341</v>
      </c>
      <c r="X56">
        <v>6</v>
      </c>
    </row>
    <row r="57" spans="1:24" ht="12.9" customHeight="1" x14ac:dyDescent="0.25">
      <c r="A57" s="11" t="s">
        <v>47</v>
      </c>
      <c r="B57" s="12">
        <f t="shared" si="29"/>
        <v>48</v>
      </c>
      <c r="C57" s="72">
        <v>412</v>
      </c>
      <c r="D57" s="54">
        <f t="shared" si="15"/>
        <v>412</v>
      </c>
      <c r="E57" s="13">
        <f t="shared" si="16"/>
        <v>16.220472440944881</v>
      </c>
      <c r="F57" s="45">
        <v>38</v>
      </c>
      <c r="G57" s="14">
        <v>0</v>
      </c>
      <c r="H57" s="13">
        <f t="shared" si="17"/>
        <v>16.5</v>
      </c>
      <c r="I57" s="14">
        <v>3</v>
      </c>
      <c r="J57" s="14">
        <v>0</v>
      </c>
      <c r="K57" s="14">
        <f t="shared" si="18"/>
        <v>150.98167924904249</v>
      </c>
      <c r="L57" s="14">
        <f t="shared" si="19"/>
        <v>452.94503774712746</v>
      </c>
      <c r="M57" s="15">
        <f t="shared" si="20"/>
        <v>0.41359948425019966</v>
      </c>
      <c r="N57" s="16">
        <f t="shared" si="21"/>
        <v>0.6516711061552698</v>
      </c>
      <c r="O57" s="16">
        <f t="shared" si="22"/>
        <v>0</v>
      </c>
      <c r="P57" s="16">
        <f t="shared" si="23"/>
        <v>0</v>
      </c>
      <c r="Q57" s="17">
        <f t="shared" si="24"/>
        <v>0.6516711061552698</v>
      </c>
      <c r="R57" s="17">
        <f t="shared" si="25"/>
        <v>10.426737698484317</v>
      </c>
      <c r="S57" s="14">
        <f t="shared" si="26"/>
        <v>279.31363128358521</v>
      </c>
      <c r="T57" s="67">
        <f t="shared" si="27"/>
        <v>415.30469757994507</v>
      </c>
      <c r="U57" s="12">
        <f t="shared" si="14"/>
        <v>48</v>
      </c>
      <c r="V57">
        <v>0.75</v>
      </c>
      <c r="W57" s="30">
        <f t="shared" si="28"/>
        <v>5.9288673601572404</v>
      </c>
      <c r="X57">
        <v>6</v>
      </c>
    </row>
    <row r="58" spans="1:24" ht="12.9" customHeight="1" x14ac:dyDescent="0.25">
      <c r="A58" s="11" t="s">
        <v>48</v>
      </c>
      <c r="B58" s="12">
        <f t="shared" si="29"/>
        <v>49</v>
      </c>
      <c r="C58" s="72">
        <v>391</v>
      </c>
      <c r="D58" s="54">
        <f t="shared" si="15"/>
        <v>391</v>
      </c>
      <c r="E58" s="13">
        <f t="shared" si="16"/>
        <v>15.393700787401576</v>
      </c>
      <c r="F58" s="45">
        <v>38</v>
      </c>
      <c r="G58" s="14">
        <v>0</v>
      </c>
      <c r="H58" s="13">
        <f t="shared" si="17"/>
        <v>16.5</v>
      </c>
      <c r="I58" s="14">
        <v>3</v>
      </c>
      <c r="J58" s="14">
        <v>0</v>
      </c>
      <c r="K58" s="14">
        <f t="shared" si="18"/>
        <v>152.63530542176966</v>
      </c>
      <c r="L58" s="14">
        <f t="shared" si="19"/>
        <v>457.90591626530897</v>
      </c>
      <c r="M58" s="15">
        <f t="shared" si="20"/>
        <v>0.41812943076811088</v>
      </c>
      <c r="N58" s="16">
        <f t="shared" si="21"/>
        <v>0.71571255267318157</v>
      </c>
      <c r="O58" s="16">
        <f t="shared" si="22"/>
        <v>0</v>
      </c>
      <c r="P58" s="16">
        <f t="shared" si="23"/>
        <v>0</v>
      </c>
      <c r="Q58" s="17">
        <f t="shared" si="24"/>
        <v>0.71571255267318157</v>
      </c>
      <c r="R58" s="17">
        <f t="shared" si="25"/>
        <v>11.451400842770905</v>
      </c>
      <c r="S58" s="14">
        <f t="shared" si="26"/>
        <v>280.83905650899868</v>
      </c>
      <c r="T58" s="67">
        <f t="shared" si="27"/>
        <v>440</v>
      </c>
      <c r="U58" s="12">
        <f t="shared" si="14"/>
        <v>49</v>
      </c>
      <c r="V58">
        <v>0.75</v>
      </c>
      <c r="W58" s="30">
        <f t="shared" si="28"/>
        <v>5.9938032536388066</v>
      </c>
      <c r="X58">
        <v>6</v>
      </c>
    </row>
    <row r="59" spans="1:24" ht="12.9" customHeight="1" x14ac:dyDescent="0.25">
      <c r="A59" s="11" t="s">
        <v>49</v>
      </c>
      <c r="B59" s="12">
        <f t="shared" si="29"/>
        <v>50</v>
      </c>
      <c r="C59" s="72">
        <v>373</v>
      </c>
      <c r="D59" s="54">
        <f t="shared" si="15"/>
        <v>373</v>
      </c>
      <c r="E59" s="13">
        <f t="shared" si="16"/>
        <v>14.685039370078741</v>
      </c>
      <c r="F59" s="45">
        <v>38</v>
      </c>
      <c r="G59" s="14">
        <v>0</v>
      </c>
      <c r="H59" s="13">
        <f t="shared" si="17"/>
        <v>16.5</v>
      </c>
      <c r="I59" s="14">
        <v>3</v>
      </c>
      <c r="J59" s="14">
        <v>0</v>
      </c>
      <c r="K59" s="14">
        <f t="shared" si="18"/>
        <v>155.91604678478487</v>
      </c>
      <c r="L59" s="14">
        <f t="shared" si="19"/>
        <v>467.74814035435463</v>
      </c>
      <c r="M59" s="15">
        <f t="shared" si="20"/>
        <v>0.42711669957085863</v>
      </c>
      <c r="N59" s="16">
        <f t="shared" si="21"/>
        <v>0.76990771335479247</v>
      </c>
      <c r="O59" s="16">
        <f t="shared" si="22"/>
        <v>0</v>
      </c>
      <c r="P59" s="16">
        <f t="shared" si="23"/>
        <v>0</v>
      </c>
      <c r="Q59" s="17">
        <f t="shared" si="24"/>
        <v>0.76990771335479247</v>
      </c>
      <c r="R59" s="17">
        <f t="shared" si="25"/>
        <v>12.318523413676679</v>
      </c>
      <c r="S59" s="14">
        <f t="shared" si="26"/>
        <v>283.84118594139716</v>
      </c>
      <c r="T59" s="67">
        <f t="shared" si="27"/>
        <v>466.16376151808976</v>
      </c>
      <c r="U59" s="12">
        <f t="shared" si="14"/>
        <v>50</v>
      </c>
      <c r="V59">
        <v>0.75</v>
      </c>
      <c r="W59" s="30">
        <f t="shared" si="28"/>
        <v>6.1226339864869583</v>
      </c>
      <c r="X59">
        <v>6</v>
      </c>
    </row>
    <row r="60" spans="1:24" ht="12.9" customHeight="1" x14ac:dyDescent="0.25">
      <c r="A60" s="12" t="s">
        <v>50</v>
      </c>
      <c r="B60" s="12">
        <f t="shared" si="29"/>
        <v>51</v>
      </c>
      <c r="C60" s="72">
        <v>357</v>
      </c>
      <c r="D60" s="54">
        <f t="shared" si="15"/>
        <v>357</v>
      </c>
      <c r="E60" s="13">
        <f t="shared" si="16"/>
        <v>14.05511811023622</v>
      </c>
      <c r="F60" s="45">
        <v>38</v>
      </c>
      <c r="G60" s="14">
        <v>0</v>
      </c>
      <c r="H60" s="13">
        <f t="shared" si="17"/>
        <v>16.5</v>
      </c>
      <c r="I60" s="14">
        <v>3</v>
      </c>
      <c r="J60" s="14">
        <v>0</v>
      </c>
      <c r="K60" s="14">
        <f t="shared" si="18"/>
        <v>160.31761721698888</v>
      </c>
      <c r="L60" s="14">
        <f t="shared" si="19"/>
        <v>480.95285165096664</v>
      </c>
      <c r="M60" s="15">
        <f t="shared" si="20"/>
        <v>0.43917436954582051</v>
      </c>
      <c r="N60" s="16">
        <f t="shared" si="21"/>
        <v>0.81739027717639989</v>
      </c>
      <c r="O60" s="16">
        <f t="shared" si="22"/>
        <v>0</v>
      </c>
      <c r="P60" s="16">
        <f t="shared" si="23"/>
        <v>0</v>
      </c>
      <c r="Q60" s="17">
        <f t="shared" si="24"/>
        <v>0.81739027717639989</v>
      </c>
      <c r="R60" s="17">
        <f t="shared" si="25"/>
        <v>13.078244434822398</v>
      </c>
      <c r="S60" s="14">
        <f t="shared" si="26"/>
        <v>287.81977543050482</v>
      </c>
      <c r="T60" s="67">
        <f t="shared" si="27"/>
        <v>493.88330125612424</v>
      </c>
      <c r="U60" s="12">
        <f t="shared" si="14"/>
        <v>51</v>
      </c>
      <c r="V60">
        <v>0.75</v>
      </c>
      <c r="W60" s="30">
        <f t="shared" si="28"/>
        <v>6.2954783169959727</v>
      </c>
      <c r="X60">
        <v>6</v>
      </c>
    </row>
    <row r="61" spans="1:24" ht="12.9" customHeight="1" x14ac:dyDescent="0.25">
      <c r="A61" s="11" t="s">
        <v>51</v>
      </c>
      <c r="B61" s="12">
        <f t="shared" si="29"/>
        <v>52</v>
      </c>
      <c r="C61" s="63">
        <v>342</v>
      </c>
      <c r="D61" s="54">
        <f t="shared" si="15"/>
        <v>342</v>
      </c>
      <c r="E61" s="13">
        <f t="shared" si="16"/>
        <v>13.464566929133859</v>
      </c>
      <c r="F61" s="45">
        <v>38</v>
      </c>
      <c r="G61" s="14">
        <v>0</v>
      </c>
      <c r="H61" s="13">
        <f t="shared" si="17"/>
        <v>16.5</v>
      </c>
      <c r="I61" s="14">
        <v>3</v>
      </c>
      <c r="J61" s="14">
        <v>0</v>
      </c>
      <c r="K61" s="14">
        <f t="shared" si="18"/>
        <v>165.14624187945512</v>
      </c>
      <c r="L61" s="14">
        <f t="shared" si="19"/>
        <v>495.43872563836533</v>
      </c>
      <c r="M61" s="15">
        <f t="shared" si="20"/>
        <v>0.45240191264884572</v>
      </c>
      <c r="N61" s="16">
        <f t="shared" si="21"/>
        <v>0.86462192029447293</v>
      </c>
      <c r="O61" s="16">
        <f t="shared" si="22"/>
        <v>0</v>
      </c>
      <c r="P61" s="16">
        <f t="shared" si="23"/>
        <v>0</v>
      </c>
      <c r="Q61" s="17">
        <f t="shared" si="24"/>
        <v>0.86462192029447293</v>
      </c>
      <c r="R61" s="17">
        <f t="shared" si="25"/>
        <v>13.833950724711567</v>
      </c>
      <c r="S61" s="14">
        <f t="shared" si="26"/>
        <v>292.12205889139165</v>
      </c>
      <c r="T61" s="67">
        <f t="shared" si="27"/>
        <v>523.25113060119725</v>
      </c>
      <c r="U61" s="12">
        <f t="shared" si="14"/>
        <v>52</v>
      </c>
      <c r="V61">
        <v>0.75</v>
      </c>
      <c r="W61" s="30">
        <f t="shared" si="28"/>
        <v>6.4850925489884803</v>
      </c>
      <c r="X61">
        <v>7</v>
      </c>
    </row>
    <row r="62" spans="1:24" ht="12.9" customHeight="1" x14ac:dyDescent="0.25">
      <c r="A62" s="11" t="s">
        <v>52</v>
      </c>
      <c r="B62" s="12">
        <f t="shared" si="29"/>
        <v>53</v>
      </c>
      <c r="C62" s="63">
        <v>329</v>
      </c>
      <c r="D62" s="54">
        <f t="shared" si="15"/>
        <v>329</v>
      </c>
      <c r="E62" s="13">
        <f t="shared" si="16"/>
        <v>12.952755905511811</v>
      </c>
      <c r="F62" s="45">
        <v>37</v>
      </c>
      <c r="G62" s="14">
        <v>0</v>
      </c>
      <c r="H62" s="13">
        <f t="shared" si="17"/>
        <v>16</v>
      </c>
      <c r="I62" s="14">
        <v>3</v>
      </c>
      <c r="J62" s="14">
        <v>0</v>
      </c>
      <c r="K62" s="14">
        <f t="shared" si="18"/>
        <v>162.63581854540476</v>
      </c>
      <c r="L62" s="14">
        <f t="shared" si="19"/>
        <v>487.90745563621431</v>
      </c>
      <c r="M62" s="15">
        <f t="shared" si="20"/>
        <v>0.46993271717727053</v>
      </c>
      <c r="N62" s="16">
        <f t="shared" si="21"/>
        <v>0.85273023744890775</v>
      </c>
      <c r="O62" s="16">
        <f t="shared" si="22"/>
        <v>0</v>
      </c>
      <c r="P62" s="16">
        <f t="shared" si="23"/>
        <v>0</v>
      </c>
      <c r="Q62" s="17">
        <f t="shared" si="24"/>
        <v>0.85273023744890775</v>
      </c>
      <c r="R62" s="17">
        <f t="shared" si="25"/>
        <v>13.643683799182524</v>
      </c>
      <c r="S62" s="14">
        <f t="shared" si="26"/>
        <v>282.26448159833552</v>
      </c>
      <c r="T62" s="67">
        <f t="shared" si="27"/>
        <v>554.36526195374404</v>
      </c>
      <c r="U62" s="12">
        <f t="shared" si="14"/>
        <v>53</v>
      </c>
      <c r="V62">
        <v>0.75</v>
      </c>
      <c r="W62" s="30">
        <f t="shared" si="28"/>
        <v>6.3865112705217255</v>
      </c>
      <c r="X62">
        <v>7</v>
      </c>
    </row>
    <row r="63" spans="1:24" ht="12.9" customHeight="1" x14ac:dyDescent="0.25">
      <c r="A63" s="11" t="s">
        <v>53</v>
      </c>
      <c r="B63" s="12">
        <f t="shared" si="29"/>
        <v>54</v>
      </c>
      <c r="C63" s="63">
        <v>316</v>
      </c>
      <c r="D63" s="54">
        <f t="shared" si="15"/>
        <v>316</v>
      </c>
      <c r="E63" s="13">
        <f t="shared" si="16"/>
        <v>12.440944881889765</v>
      </c>
      <c r="F63" s="45">
        <v>37</v>
      </c>
      <c r="G63" s="14">
        <v>0</v>
      </c>
      <c r="H63" s="13">
        <f t="shared" si="17"/>
        <v>16</v>
      </c>
      <c r="I63" s="14">
        <v>3</v>
      </c>
      <c r="J63" s="14">
        <v>0</v>
      </c>
      <c r="K63" s="14">
        <f t="shared" si="18"/>
        <v>168.41091486956716</v>
      </c>
      <c r="L63" s="14">
        <f t="shared" si="19"/>
        <v>505.23274460870152</v>
      </c>
      <c r="M63" s="15">
        <f t="shared" si="20"/>
        <v>0.48661973441521328</v>
      </c>
      <c r="N63" s="16">
        <f t="shared" si="21"/>
        <v>0.89263776882375856</v>
      </c>
      <c r="O63" s="16">
        <f t="shared" si="22"/>
        <v>0</v>
      </c>
      <c r="P63" s="16">
        <f t="shared" si="23"/>
        <v>0</v>
      </c>
      <c r="Q63" s="17">
        <f t="shared" si="24"/>
        <v>0.89263776882375856</v>
      </c>
      <c r="R63" s="17">
        <f t="shared" si="25"/>
        <v>14.282204301180137</v>
      </c>
      <c r="S63" s="14">
        <f t="shared" si="26"/>
        <v>287.23228312522451</v>
      </c>
      <c r="T63" s="67">
        <f t="shared" si="27"/>
        <v>587.32953583481526</v>
      </c>
      <c r="U63" s="12">
        <f t="shared" si="14"/>
        <v>54</v>
      </c>
      <c r="V63">
        <v>0.75</v>
      </c>
      <c r="W63" s="30">
        <f t="shared" si="28"/>
        <v>6.6132922963282565</v>
      </c>
      <c r="X63">
        <v>7</v>
      </c>
    </row>
    <row r="64" spans="1:24" ht="12.9" customHeight="1" x14ac:dyDescent="0.25">
      <c r="A64" s="36" t="s">
        <v>54</v>
      </c>
      <c r="B64" s="37">
        <f t="shared" si="29"/>
        <v>55</v>
      </c>
      <c r="C64" s="69">
        <v>289</v>
      </c>
      <c r="D64" s="65">
        <f t="shared" si="15"/>
        <v>289</v>
      </c>
      <c r="E64" s="38">
        <f t="shared" si="16"/>
        <v>11.377952755905513</v>
      </c>
      <c r="F64" s="46">
        <v>37</v>
      </c>
      <c r="G64" s="39">
        <v>0</v>
      </c>
      <c r="H64" s="38">
        <f t="shared" si="17"/>
        <v>16</v>
      </c>
      <c r="I64" s="39">
        <v>3</v>
      </c>
      <c r="J64" s="39">
        <v>0</v>
      </c>
      <c r="K64" s="39">
        <f t="shared" si="18"/>
        <v>158.11148634693157</v>
      </c>
      <c r="L64" s="39">
        <f t="shared" si="19"/>
        <v>474.33445904079474</v>
      </c>
      <c r="M64" s="40">
        <f t="shared" si="20"/>
        <v>0.45685975611336105</v>
      </c>
      <c r="N64" s="41">
        <f t="shared" si="21"/>
        <v>1.136738454848564</v>
      </c>
      <c r="O64" s="41">
        <f t="shared" si="22"/>
        <v>0</v>
      </c>
      <c r="P64" s="41">
        <f t="shared" si="23"/>
        <v>0</v>
      </c>
      <c r="Q64" s="42">
        <f t="shared" si="24"/>
        <v>1.136738454848564</v>
      </c>
      <c r="R64" s="42">
        <f t="shared" si="25"/>
        <v>18.187815277577023</v>
      </c>
      <c r="S64" s="39">
        <f t="shared" si="26"/>
        <v>278.31066141026434</v>
      </c>
      <c r="T64" s="68">
        <f t="shared" si="27"/>
        <v>622.25396744416173</v>
      </c>
      <c r="U64" s="12">
        <f t="shared" si="14"/>
        <v>55</v>
      </c>
      <c r="V64">
        <v>0.75</v>
      </c>
      <c r="W64" s="30">
        <f t="shared" si="28"/>
        <v>6.2088462343964483</v>
      </c>
      <c r="X64">
        <v>7</v>
      </c>
    </row>
    <row r="65" spans="1:24" ht="12.9" customHeight="1" x14ac:dyDescent="0.25">
      <c r="A65" s="11" t="s">
        <v>55</v>
      </c>
      <c r="B65" s="12">
        <f t="shared" si="29"/>
        <v>56</v>
      </c>
      <c r="C65" s="63">
        <v>274</v>
      </c>
      <c r="D65" s="54">
        <f t="shared" si="15"/>
        <v>274</v>
      </c>
      <c r="E65" s="13">
        <f t="shared" si="16"/>
        <v>10.78740157480315</v>
      </c>
      <c r="F65" s="45">
        <v>37</v>
      </c>
      <c r="G65" s="14">
        <v>0</v>
      </c>
      <c r="H65" s="13">
        <f t="shared" si="17"/>
        <v>16</v>
      </c>
      <c r="I65" s="14">
        <v>3</v>
      </c>
      <c r="J65" s="14">
        <v>0</v>
      </c>
      <c r="K65" s="14">
        <f t="shared" si="18"/>
        <v>159.52932492212747</v>
      </c>
      <c r="L65" s="14">
        <f t="shared" si="19"/>
        <v>478.58797476638244</v>
      </c>
      <c r="M65" s="15">
        <f t="shared" si="20"/>
        <v>0.46095657033374476</v>
      </c>
      <c r="N65" s="16">
        <f t="shared" si="21"/>
        <v>1.2533662782116592</v>
      </c>
      <c r="O65" s="16">
        <f t="shared" si="22"/>
        <v>0</v>
      </c>
      <c r="P65" s="16">
        <f t="shared" si="23"/>
        <v>0</v>
      </c>
      <c r="Q65" s="17">
        <f t="shared" si="24"/>
        <v>1.2533662782116592</v>
      </c>
      <c r="R65" s="17">
        <f t="shared" si="25"/>
        <v>20.053860451386548</v>
      </c>
      <c r="S65" s="14">
        <f t="shared" si="26"/>
        <v>279.55572879400273</v>
      </c>
      <c r="T65" s="67">
        <f t="shared" si="27"/>
        <v>659.25511382573973</v>
      </c>
      <c r="U65" s="12">
        <f t="shared" si="14"/>
        <v>56</v>
      </c>
      <c r="V65">
        <v>0.75</v>
      </c>
      <c r="W65" s="30">
        <f t="shared" si="28"/>
        <v>6.264523035000745</v>
      </c>
      <c r="X65">
        <v>7</v>
      </c>
    </row>
    <row r="66" spans="1:24" ht="12.9" customHeight="1" x14ac:dyDescent="0.25">
      <c r="A66" s="11" t="s">
        <v>56</v>
      </c>
      <c r="B66" s="12">
        <f t="shared" si="29"/>
        <v>57</v>
      </c>
      <c r="C66" s="63">
        <v>261</v>
      </c>
      <c r="D66" s="54">
        <f t="shared" si="15"/>
        <v>261</v>
      </c>
      <c r="E66" s="13">
        <f t="shared" si="16"/>
        <v>10.275590551181104</v>
      </c>
      <c r="F66" s="45">
        <v>37</v>
      </c>
      <c r="G66" s="14">
        <v>0</v>
      </c>
      <c r="H66" s="13">
        <f t="shared" si="17"/>
        <v>16</v>
      </c>
      <c r="I66" s="14">
        <v>3</v>
      </c>
      <c r="J66" s="14">
        <v>0</v>
      </c>
      <c r="K66" s="14">
        <f t="shared" si="18"/>
        <v>162.47707137755222</v>
      </c>
      <c r="L66" s="14">
        <f t="shared" si="19"/>
        <v>487.43121413265669</v>
      </c>
      <c r="M66" s="15">
        <f t="shared" si="20"/>
        <v>0.46947402063305066</v>
      </c>
      <c r="N66" s="16">
        <f t="shared" si="21"/>
        <v>1.3562712689565115</v>
      </c>
      <c r="O66" s="16">
        <f t="shared" si="22"/>
        <v>0</v>
      </c>
      <c r="P66" s="16">
        <f t="shared" si="23"/>
        <v>0</v>
      </c>
      <c r="Q66" s="17">
        <f t="shared" si="24"/>
        <v>1.3562712689565115</v>
      </c>
      <c r="R66" s="17">
        <f t="shared" si="25"/>
        <v>21.700340303304184</v>
      </c>
      <c r="S66" s="14">
        <f t="shared" si="26"/>
        <v>282.12669022154796</v>
      </c>
      <c r="T66" s="67">
        <f t="shared" si="27"/>
        <v>698.45646286600788</v>
      </c>
      <c r="U66" s="12">
        <f t="shared" si="14"/>
        <v>57</v>
      </c>
      <c r="V66">
        <v>0.75</v>
      </c>
      <c r="W66" s="30">
        <f t="shared" si="28"/>
        <v>6.3802774618458669</v>
      </c>
      <c r="X66">
        <v>7</v>
      </c>
    </row>
    <row r="67" spans="1:24" ht="12.9" customHeight="1" x14ac:dyDescent="0.25">
      <c r="A67" s="11" t="s">
        <v>57</v>
      </c>
      <c r="B67" s="12">
        <f t="shared" si="29"/>
        <v>58</v>
      </c>
      <c r="C67" s="63">
        <v>246</v>
      </c>
      <c r="D67" s="54">
        <f t="shared" si="15"/>
        <v>246</v>
      </c>
      <c r="E67" s="13">
        <f t="shared" si="16"/>
        <v>9.6850393700787407</v>
      </c>
      <c r="F67" s="45">
        <v>37</v>
      </c>
      <c r="G67" s="14">
        <v>0</v>
      </c>
      <c r="H67" s="13">
        <f t="shared" si="17"/>
        <v>16</v>
      </c>
      <c r="I67" s="14">
        <v>3</v>
      </c>
      <c r="J67" s="14">
        <v>0</v>
      </c>
      <c r="K67" s="14">
        <f t="shared" si="18"/>
        <v>162.01415045606598</v>
      </c>
      <c r="L67" s="14">
        <f t="shared" si="19"/>
        <v>486.04245136819793</v>
      </c>
      <c r="M67" s="15">
        <f t="shared" si="20"/>
        <v>0.46813642053721755</v>
      </c>
      <c r="N67" s="16">
        <f t="shared" si="21"/>
        <v>1.5310751114103287</v>
      </c>
      <c r="O67" s="16">
        <f t="shared" si="22"/>
        <v>0</v>
      </c>
      <c r="P67" s="16">
        <f t="shared" si="23"/>
        <v>0</v>
      </c>
      <c r="Q67" s="17">
        <f t="shared" si="24"/>
        <v>1.5310751114103287</v>
      </c>
      <c r="R67" s="17">
        <f t="shared" si="25"/>
        <v>24.497201782565259</v>
      </c>
      <c r="S67" s="14">
        <f t="shared" si="26"/>
        <v>281.72449345200386</v>
      </c>
      <c r="T67" s="67">
        <f t="shared" si="27"/>
        <v>739.9888454232688</v>
      </c>
      <c r="U67" s="12">
        <f t="shared" si="14"/>
        <v>58</v>
      </c>
      <c r="V67">
        <v>0.75</v>
      </c>
      <c r="W67" s="30">
        <f t="shared" si="28"/>
        <v>6.3620991189145597</v>
      </c>
      <c r="X67">
        <v>8</v>
      </c>
    </row>
    <row r="68" spans="1:24" ht="12.9" customHeight="1" x14ac:dyDescent="0.25">
      <c r="A68" s="11" t="s">
        <v>58</v>
      </c>
      <c r="B68" s="12">
        <f t="shared" si="29"/>
        <v>59</v>
      </c>
      <c r="C68" s="63">
        <v>232</v>
      </c>
      <c r="D68" s="54">
        <f t="shared" si="15"/>
        <v>232</v>
      </c>
      <c r="E68" s="13">
        <f t="shared" si="16"/>
        <v>9.1338582677165352</v>
      </c>
      <c r="F68" s="45">
        <v>36</v>
      </c>
      <c r="G68" s="14">
        <v>0</v>
      </c>
      <c r="H68" s="13">
        <f t="shared" si="17"/>
        <v>15.5</v>
      </c>
      <c r="I68" s="14">
        <v>3</v>
      </c>
      <c r="J68" s="14">
        <v>0</v>
      </c>
      <c r="K68" s="14">
        <f t="shared" si="18"/>
        <v>153.12000082566985</v>
      </c>
      <c r="L68" s="14">
        <f t="shared" si="19"/>
        <v>459.36000247700952</v>
      </c>
      <c r="M68" s="15">
        <f t="shared" si="20"/>
        <v>0.46735818348591407</v>
      </c>
      <c r="N68" s="16">
        <f t="shared" si="21"/>
        <v>1.6323559745644622</v>
      </c>
      <c r="O68" s="16">
        <f t="shared" si="22"/>
        <v>0</v>
      </c>
      <c r="P68" s="16">
        <f t="shared" si="23"/>
        <v>0</v>
      </c>
      <c r="Q68" s="17">
        <f t="shared" si="24"/>
        <v>1.6323559745644622</v>
      </c>
      <c r="R68" s="17">
        <f t="shared" si="25"/>
        <v>26.117695593031396</v>
      </c>
      <c r="S68" s="14">
        <f t="shared" si="26"/>
        <v>266.48015411418811</v>
      </c>
      <c r="T68" s="67">
        <f t="shared" si="27"/>
        <v>783.99087196349842</v>
      </c>
      <c r="U68" s="12">
        <f t="shared" si="14"/>
        <v>59</v>
      </c>
      <c r="V68">
        <v>0.75</v>
      </c>
      <c r="W68" s="30">
        <f t="shared" si="28"/>
        <v>6.0128366540758353</v>
      </c>
      <c r="X68">
        <v>8</v>
      </c>
    </row>
    <row r="69" spans="1:24" ht="12.9" customHeight="1" x14ac:dyDescent="0.25">
      <c r="A69" s="11" t="s">
        <v>59</v>
      </c>
      <c r="B69" s="12">
        <f t="shared" si="29"/>
        <v>60</v>
      </c>
      <c r="C69" s="63">
        <v>220</v>
      </c>
      <c r="D69" s="54">
        <f t="shared" si="15"/>
        <v>220</v>
      </c>
      <c r="E69" s="13">
        <f t="shared" si="16"/>
        <v>8.6614173228346463</v>
      </c>
      <c r="F69" s="45">
        <v>36</v>
      </c>
      <c r="G69" s="14">
        <v>0</v>
      </c>
      <c r="H69" s="13">
        <f t="shared" si="17"/>
        <v>15.5</v>
      </c>
      <c r="I69" s="14">
        <v>3</v>
      </c>
      <c r="J69" s="14">
        <v>0</v>
      </c>
      <c r="K69" s="14">
        <f t="shared" si="18"/>
        <v>154.55141320922749</v>
      </c>
      <c r="L69" s="14">
        <f t="shared" si="19"/>
        <v>463.6542396276825</v>
      </c>
      <c r="M69" s="15">
        <f t="shared" si="20"/>
        <v>0.47172719006762376</v>
      </c>
      <c r="N69" s="16">
        <f t="shared" si="21"/>
        <v>1.7984750755438619</v>
      </c>
      <c r="O69" s="16">
        <f t="shared" si="22"/>
        <v>0</v>
      </c>
      <c r="P69" s="16">
        <f t="shared" si="23"/>
        <v>0</v>
      </c>
      <c r="Q69" s="17">
        <f t="shared" si="24"/>
        <v>1.7984750755438619</v>
      </c>
      <c r="R69" s="17">
        <f t="shared" si="25"/>
        <v>28.77560120870179</v>
      </c>
      <c r="S69" s="14">
        <f t="shared" si="26"/>
        <v>267.7228254564447</v>
      </c>
      <c r="T69" s="67">
        <f t="shared" si="27"/>
        <v>830.60939515989048</v>
      </c>
      <c r="U69" s="12">
        <f t="shared" si="14"/>
        <v>60</v>
      </c>
      <c r="V69">
        <v>0.75</v>
      </c>
      <c r="W69" s="30">
        <f t="shared" si="28"/>
        <v>6.0690464816655876</v>
      </c>
      <c r="X69">
        <v>8</v>
      </c>
    </row>
    <row r="70" spans="1:24" ht="12.9" customHeight="1" x14ac:dyDescent="0.25">
      <c r="A70" s="11" t="s">
        <v>60</v>
      </c>
      <c r="B70" s="12">
        <f t="shared" si="29"/>
        <v>61</v>
      </c>
      <c r="C70" s="63">
        <v>208</v>
      </c>
      <c r="D70" s="54">
        <f t="shared" si="15"/>
        <v>208</v>
      </c>
      <c r="E70" s="13">
        <f t="shared" si="16"/>
        <v>8.1889763779527556</v>
      </c>
      <c r="F70" s="45">
        <v>36</v>
      </c>
      <c r="G70" s="14">
        <v>0</v>
      </c>
      <c r="H70" s="13">
        <f t="shared" si="17"/>
        <v>15.5</v>
      </c>
      <c r="I70" s="14">
        <v>3</v>
      </c>
      <c r="J70" s="14">
        <v>0</v>
      </c>
      <c r="K70" s="14">
        <f t="shared" si="18"/>
        <v>155.06934583510457</v>
      </c>
      <c r="L70" s="14">
        <f t="shared" si="19"/>
        <v>465.20803750531371</v>
      </c>
      <c r="M70" s="15">
        <f t="shared" si="20"/>
        <v>0.47330804201310922</v>
      </c>
      <c r="N70" s="16">
        <f t="shared" si="21"/>
        <v>2.0052574612175946</v>
      </c>
      <c r="O70" s="16">
        <f t="shared" si="22"/>
        <v>0</v>
      </c>
      <c r="P70" s="16">
        <f t="shared" si="23"/>
        <v>0</v>
      </c>
      <c r="Q70" s="17">
        <f t="shared" si="24"/>
        <v>2.0052574612175946</v>
      </c>
      <c r="R70" s="17">
        <f t="shared" si="25"/>
        <v>32.084119379481514</v>
      </c>
      <c r="S70" s="14">
        <f t="shared" si="26"/>
        <v>268.17104655658738</v>
      </c>
      <c r="T70" s="67">
        <f t="shared" si="27"/>
        <v>880</v>
      </c>
      <c r="U70" s="12">
        <f t="shared" si="14"/>
        <v>61</v>
      </c>
      <c r="V70">
        <v>0.75</v>
      </c>
      <c r="W70" s="30">
        <f t="shared" si="28"/>
        <v>6.0893850674833931</v>
      </c>
      <c r="X70">
        <v>8</v>
      </c>
    </row>
    <row r="71" spans="1:24" ht="12.9" customHeight="1" x14ac:dyDescent="0.25">
      <c r="A71" s="11" t="s">
        <v>61</v>
      </c>
      <c r="B71" s="12">
        <f t="shared" si="29"/>
        <v>62</v>
      </c>
      <c r="C71" s="63">
        <v>196</v>
      </c>
      <c r="D71" s="54">
        <f t="shared" si="15"/>
        <v>196</v>
      </c>
      <c r="E71" s="13">
        <f t="shared" si="16"/>
        <v>7.7165354330708666</v>
      </c>
      <c r="F71" s="45">
        <v>36</v>
      </c>
      <c r="G71" s="14">
        <v>0</v>
      </c>
      <c r="H71" s="13">
        <f t="shared" si="17"/>
        <v>15.5</v>
      </c>
      <c r="I71" s="14">
        <v>3</v>
      </c>
      <c r="J71" s="14">
        <v>0</v>
      </c>
      <c r="K71" s="14">
        <f t="shared" si="18"/>
        <v>154.55501212652158</v>
      </c>
      <c r="L71" s="14">
        <f t="shared" si="19"/>
        <v>463.66503637956475</v>
      </c>
      <c r="M71" s="15">
        <f t="shared" si="20"/>
        <v>0.47173817480795815</v>
      </c>
      <c r="N71" s="16">
        <f t="shared" si="21"/>
        <v>2.2658310789052023</v>
      </c>
      <c r="O71" s="16">
        <f t="shared" si="22"/>
        <v>0</v>
      </c>
      <c r="P71" s="16">
        <f t="shared" si="23"/>
        <v>0</v>
      </c>
      <c r="Q71" s="17">
        <f t="shared" si="24"/>
        <v>2.2658310789052023</v>
      </c>
      <c r="R71" s="17">
        <f t="shared" si="25"/>
        <v>36.253297262483237</v>
      </c>
      <c r="S71" s="14">
        <f t="shared" si="26"/>
        <v>267.72594256381194</v>
      </c>
      <c r="T71" s="67">
        <f t="shared" si="27"/>
        <v>932.32752303617951</v>
      </c>
      <c r="U71" s="12">
        <f t="shared" si="14"/>
        <v>62</v>
      </c>
      <c r="V71">
        <v>0.75</v>
      </c>
      <c r="W71" s="30">
        <f t="shared" si="28"/>
        <v>6.0691878067812102</v>
      </c>
      <c r="X71">
        <v>8</v>
      </c>
    </row>
    <row r="72" spans="1:24" ht="12.9" customHeight="1" x14ac:dyDescent="0.25">
      <c r="A72" s="11" t="s">
        <v>62</v>
      </c>
      <c r="B72" s="12">
        <f t="shared" si="29"/>
        <v>63</v>
      </c>
      <c r="C72" s="63">
        <v>186</v>
      </c>
      <c r="D72" s="54">
        <f t="shared" si="15"/>
        <v>186</v>
      </c>
      <c r="E72" s="13">
        <f t="shared" si="16"/>
        <v>7.3228346456692917</v>
      </c>
      <c r="F72" s="45">
        <v>36</v>
      </c>
      <c r="G72" s="14">
        <v>0</v>
      </c>
      <c r="H72" s="13">
        <f t="shared" si="17"/>
        <v>15.5</v>
      </c>
      <c r="I72" s="14">
        <v>3</v>
      </c>
      <c r="J72" s="14">
        <v>0</v>
      </c>
      <c r="K72" s="14">
        <f t="shared" si="18"/>
        <v>156.23146499748509</v>
      </c>
      <c r="L72" s="14">
        <f t="shared" si="19"/>
        <v>468.69439499245527</v>
      </c>
      <c r="M72" s="15">
        <f t="shared" si="20"/>
        <v>0.47685510247415697</v>
      </c>
      <c r="N72" s="16">
        <f t="shared" si="21"/>
        <v>2.4890199182522315</v>
      </c>
      <c r="O72" s="16">
        <f t="shared" si="22"/>
        <v>0</v>
      </c>
      <c r="P72" s="16">
        <f t="shared" si="23"/>
        <v>0</v>
      </c>
      <c r="Q72" s="17">
        <f t="shared" si="24"/>
        <v>2.4890199182522315</v>
      </c>
      <c r="R72" s="17">
        <f t="shared" si="25"/>
        <v>39.824318692035703</v>
      </c>
      <c r="S72" s="14">
        <f t="shared" si="26"/>
        <v>269.17403332703191</v>
      </c>
      <c r="T72" s="67">
        <f t="shared" si="27"/>
        <v>987.76660251224848</v>
      </c>
      <c r="U72" s="12">
        <f t="shared" si="14"/>
        <v>63</v>
      </c>
      <c r="V72">
        <v>0.75</v>
      </c>
      <c r="W72" s="30">
        <f t="shared" si="28"/>
        <v>6.135020077007205</v>
      </c>
      <c r="X72">
        <v>8</v>
      </c>
    </row>
    <row r="73" spans="1:24" ht="12.9" customHeight="1" x14ac:dyDescent="0.25">
      <c r="A73" s="11" t="s">
        <v>63</v>
      </c>
      <c r="B73" s="12">
        <f t="shared" si="29"/>
        <v>64</v>
      </c>
      <c r="C73" s="63">
        <v>176</v>
      </c>
      <c r="D73" s="54">
        <f t="shared" si="15"/>
        <v>176</v>
      </c>
      <c r="E73" s="13">
        <f t="shared" si="16"/>
        <v>6.9291338582677167</v>
      </c>
      <c r="F73" s="45">
        <v>36</v>
      </c>
      <c r="G73" s="14">
        <v>0</v>
      </c>
      <c r="H73" s="13">
        <f t="shared" si="17"/>
        <v>15.5</v>
      </c>
      <c r="I73" s="14">
        <v>3</v>
      </c>
      <c r="J73" s="14">
        <v>0</v>
      </c>
      <c r="K73" s="14">
        <f t="shared" si="18"/>
        <v>157.01444858335964</v>
      </c>
      <c r="L73" s="14">
        <f t="shared" si="19"/>
        <v>471.04334575007891</v>
      </c>
      <c r="M73" s="15">
        <f t="shared" si="20"/>
        <v>0.47924495216342283</v>
      </c>
      <c r="N73" s="16">
        <f t="shared" si="21"/>
        <v>2.7660358952502269</v>
      </c>
      <c r="O73" s="16">
        <f t="shared" si="22"/>
        <v>0</v>
      </c>
      <c r="P73" s="16">
        <f t="shared" si="23"/>
        <v>0</v>
      </c>
      <c r="Q73" s="17">
        <f t="shared" si="24"/>
        <v>2.7660358952502269</v>
      </c>
      <c r="R73" s="17">
        <f t="shared" si="25"/>
        <v>44.25657432400363</v>
      </c>
      <c r="S73" s="14">
        <f t="shared" si="26"/>
        <v>269.8476986639244</v>
      </c>
      <c r="T73" s="67">
        <f t="shared" si="27"/>
        <v>1046.5022612023945</v>
      </c>
      <c r="U73" s="12">
        <f t="shared" si="14"/>
        <v>64</v>
      </c>
      <c r="V73">
        <v>0.75</v>
      </c>
      <c r="W73" s="30">
        <f t="shared" si="28"/>
        <v>6.1657668924415017</v>
      </c>
      <c r="X73">
        <v>8</v>
      </c>
    </row>
    <row r="74" spans="1:24" ht="12.9" customHeight="1" x14ac:dyDescent="0.25">
      <c r="A74" s="11" t="s">
        <v>64</v>
      </c>
      <c r="B74" s="12">
        <f t="shared" si="29"/>
        <v>65</v>
      </c>
      <c r="C74" s="63">
        <v>166</v>
      </c>
      <c r="D74" s="54">
        <f t="shared" si="15"/>
        <v>166</v>
      </c>
      <c r="E74" s="13">
        <f t="shared" ref="E74:E97" si="30">Lmm/25.4</f>
        <v>6.5354330708661417</v>
      </c>
      <c r="F74" s="45">
        <v>35</v>
      </c>
      <c r="G74" s="14">
        <v>0</v>
      </c>
      <c r="H74" s="13">
        <f t="shared" ref="H74:H97" si="31">IF(Dc=0," ",(Dc-5)/2)</f>
        <v>15</v>
      </c>
      <c r="I74" s="14">
        <v>3</v>
      </c>
      <c r="J74" s="14">
        <v>0</v>
      </c>
      <c r="K74" s="14">
        <f t="shared" ref="K74:K97" si="32">IF(Lin=0,0,IF(WM&gt;0,((Freq*Lin*Dc)/20833)^2*(1+(WM*0.01)*(Dw^2/Dc^2-1)),((Freq*Lin*Dc)/20833)^2))</f>
        <v>148.1948842601594</v>
      </c>
      <c r="L74" s="14">
        <f t="shared" ref="L74:L97" si="33">IF(Lin=0,0,T*Ns)</f>
        <v>444.58465278047822</v>
      </c>
      <c r="M74" s="15">
        <f t="shared" ref="M74:M97" si="34">IF(Dc=0, 0,T/(0.2528*Dc^2))</f>
        <v>0.47854199257349328</v>
      </c>
      <c r="N74" s="16">
        <f t="shared" ref="N74:N97" si="35">IF(Dc=0,0,(333.8*Dc*0.001)^4/(T*Lin^2))</f>
        <v>2.9433069235817499</v>
      </c>
      <c r="O74" s="16">
        <f t="shared" ref="O74:O97" si="36" xml:space="preserve"> IF(WM=0,0,0.287*(((Dw*0.001)^2-(Dc*0.001)^2)/((Dw*0.001)^2+0.12*(Dc*0.001)^2))*(4*SIN(4*PI()*0.5/Lin)-SIN(16*PI()*0.5/Lin)))</f>
        <v>0</v>
      </c>
      <c r="P74" s="16">
        <f t="shared" ref="P74:P97" si="37" xml:space="preserve"> IF(Ns=1,(0.287*(((Dw*0.001)^2-(Dc*0.001)^2)/((Dw*0.001)^2+0.12*(Dc*0.001)^2))*(4*SIN(4*PI()*1/Lin)-SIN(16*PI()*1/Lin)-4*SIN(4*PI()*0.5/Lin) + SIN(16*PI()*0.5/Lin))),0)</f>
        <v>0</v>
      </c>
      <c r="Q74" s="17">
        <f t="shared" ref="Q74:Q97" si="38">IF(Dc=0,0,(Icore+Iend+Istep))</f>
        <v>2.9433069235817499</v>
      </c>
      <c r="R74" s="17">
        <f t="shared" ref="R74:R97" si="39">IF(Dc=0,0,Ic*(4^2))</f>
        <v>47.092910777307999</v>
      </c>
      <c r="S74" s="14">
        <f t="shared" ref="S74:S97" si="40">IF(Dw=0,(Ns*Dc*0.001994*(T)^0.5)*100,((((Ns*(0.00876*PI()*(Dc/2000)^2*T)+(((Dw/2000)^2)-((Dc/2000)^2))*PI()*0.0065*(T*0.00316))^0.5*4120)+((Ns*((Dw*0.001994*0.89)+(Dc*0.001994*0.11))*(T)^0.5)*100))/2))</f>
        <v>254.87724198224041</v>
      </c>
      <c r="T74" s="67">
        <f t="shared" ref="T74:T97" si="41">(fork/16)*2^((Un-1)/12)</f>
        <v>1108.7305239074881</v>
      </c>
      <c r="U74" s="12">
        <f t="shared" si="14"/>
        <v>65</v>
      </c>
      <c r="V74">
        <v>0.75</v>
      </c>
      <c r="W74" s="30">
        <f t="shared" ref="W74:W97" si="42">SIN(RADIANS(V$10:V$65536))*Tu</f>
        <v>5.8194333021230538</v>
      </c>
      <c r="X74">
        <v>8</v>
      </c>
    </row>
    <row r="75" spans="1:24" ht="12.9" customHeight="1" x14ac:dyDescent="0.25">
      <c r="A75" s="12" t="s">
        <v>65</v>
      </c>
      <c r="B75" s="12">
        <f t="shared" ref="B75:B97" si="43">B74+1</f>
        <v>66</v>
      </c>
      <c r="C75" s="63">
        <v>157</v>
      </c>
      <c r="D75" s="54">
        <f t="shared" si="15"/>
        <v>157</v>
      </c>
      <c r="E75" s="13">
        <f t="shared" si="30"/>
        <v>6.181102362204725</v>
      </c>
      <c r="F75" s="45">
        <v>35</v>
      </c>
      <c r="G75" s="14">
        <v>0</v>
      </c>
      <c r="H75" s="13">
        <f t="shared" si="31"/>
        <v>15</v>
      </c>
      <c r="I75" s="14">
        <v>3</v>
      </c>
      <c r="J75" s="14">
        <v>0</v>
      </c>
      <c r="K75" s="14">
        <f t="shared" si="32"/>
        <v>148.79488654339957</v>
      </c>
      <c r="L75" s="14">
        <f t="shared" si="33"/>
        <v>446.38465963019871</v>
      </c>
      <c r="M75" s="15">
        <f t="shared" si="34"/>
        <v>0.48047948380069611</v>
      </c>
      <c r="N75" s="16">
        <f t="shared" si="35"/>
        <v>3.2771598736388388</v>
      </c>
      <c r="O75" s="16">
        <f t="shared" si="36"/>
        <v>0</v>
      </c>
      <c r="P75" s="16">
        <f t="shared" si="37"/>
        <v>0</v>
      </c>
      <c r="Q75" s="17">
        <f t="shared" si="38"/>
        <v>3.2771598736388388</v>
      </c>
      <c r="R75" s="17">
        <f t="shared" si="39"/>
        <v>52.43455797822142</v>
      </c>
      <c r="S75" s="14">
        <f t="shared" si="40"/>
        <v>255.39268639244563</v>
      </c>
      <c r="T75" s="67">
        <f t="shared" si="41"/>
        <v>1174.6590716696301</v>
      </c>
      <c r="U75" s="12">
        <f t="shared" ref="U75:U97" si="44">U74+1</f>
        <v>66</v>
      </c>
      <c r="V75">
        <v>0.75</v>
      </c>
      <c r="W75" s="30">
        <f t="shared" si="42"/>
        <v>5.8429946638115444</v>
      </c>
      <c r="X75">
        <v>9</v>
      </c>
    </row>
    <row r="76" spans="1:24" ht="12.9" customHeight="1" x14ac:dyDescent="0.25">
      <c r="A76" s="12" t="s">
        <v>66</v>
      </c>
      <c r="B76" s="12">
        <f t="shared" si="43"/>
        <v>67</v>
      </c>
      <c r="C76" s="63">
        <v>150</v>
      </c>
      <c r="D76" s="54">
        <f t="shared" si="15"/>
        <v>150</v>
      </c>
      <c r="E76" s="13">
        <f t="shared" si="30"/>
        <v>5.9055118110236222</v>
      </c>
      <c r="F76" s="45">
        <v>35</v>
      </c>
      <c r="G76" s="14">
        <v>0</v>
      </c>
      <c r="H76" s="13">
        <f t="shared" si="31"/>
        <v>15</v>
      </c>
      <c r="I76" s="14">
        <v>3</v>
      </c>
      <c r="J76" s="14">
        <v>0</v>
      </c>
      <c r="K76" s="14">
        <f t="shared" si="32"/>
        <v>152.45542599569819</v>
      </c>
      <c r="L76" s="14">
        <f t="shared" si="33"/>
        <v>457.36627798709458</v>
      </c>
      <c r="M76" s="15">
        <f t="shared" si="34"/>
        <v>0.49229987727879809</v>
      </c>
      <c r="N76" s="16">
        <f t="shared" si="35"/>
        <v>3.5039631975142251</v>
      </c>
      <c r="O76" s="16">
        <f t="shared" si="36"/>
        <v>0</v>
      </c>
      <c r="P76" s="16">
        <f t="shared" si="37"/>
        <v>0</v>
      </c>
      <c r="Q76" s="17">
        <f t="shared" si="38"/>
        <v>3.5039631975142251</v>
      </c>
      <c r="R76" s="17">
        <f t="shared" si="39"/>
        <v>56.063411160227602</v>
      </c>
      <c r="S76" s="14">
        <f t="shared" si="40"/>
        <v>258.51508834593011</v>
      </c>
      <c r="T76" s="67">
        <f t="shared" si="41"/>
        <v>1244.5079348883237</v>
      </c>
      <c r="U76" s="12">
        <f t="shared" si="44"/>
        <v>67</v>
      </c>
      <c r="V76">
        <v>0.75</v>
      </c>
      <c r="W76" s="30">
        <f t="shared" si="42"/>
        <v>5.9867396068221641</v>
      </c>
      <c r="X76">
        <v>9</v>
      </c>
    </row>
    <row r="77" spans="1:24" ht="12.9" customHeight="1" x14ac:dyDescent="0.25">
      <c r="A77" s="12" t="s">
        <v>67</v>
      </c>
      <c r="B77" s="12">
        <f t="shared" si="43"/>
        <v>68</v>
      </c>
      <c r="C77" s="63">
        <v>143</v>
      </c>
      <c r="D77" s="54">
        <f t="shared" si="15"/>
        <v>143</v>
      </c>
      <c r="E77" s="13">
        <f t="shared" si="30"/>
        <v>5.6299212598425203</v>
      </c>
      <c r="F77" s="45">
        <v>35</v>
      </c>
      <c r="G77" s="14">
        <v>0</v>
      </c>
      <c r="H77" s="13">
        <f t="shared" si="31"/>
        <v>15</v>
      </c>
      <c r="I77" s="14">
        <v>3</v>
      </c>
      <c r="J77" s="14">
        <v>0</v>
      </c>
      <c r="K77" s="14">
        <f t="shared" si="32"/>
        <v>155.52639612146683</v>
      </c>
      <c r="L77" s="14">
        <f t="shared" si="33"/>
        <v>466.57918836440047</v>
      </c>
      <c r="M77" s="15">
        <f t="shared" si="34"/>
        <v>0.50221646900499495</v>
      </c>
      <c r="N77" s="16">
        <f t="shared" si="35"/>
        <v>3.7792772788453641</v>
      </c>
      <c r="O77" s="16">
        <f t="shared" si="36"/>
        <v>0</v>
      </c>
      <c r="P77" s="16">
        <f t="shared" si="37"/>
        <v>0</v>
      </c>
      <c r="Q77" s="17">
        <f t="shared" si="38"/>
        <v>3.7792772788453641</v>
      </c>
      <c r="R77" s="17">
        <f t="shared" si="39"/>
        <v>60.468436461525826</v>
      </c>
      <c r="S77" s="14">
        <f t="shared" si="40"/>
        <v>261.10579298379355</v>
      </c>
      <c r="T77" s="67">
        <f t="shared" si="41"/>
        <v>1318.5102276514795</v>
      </c>
      <c r="U77" s="12">
        <f t="shared" si="44"/>
        <v>68</v>
      </c>
      <c r="V77">
        <v>0.75</v>
      </c>
      <c r="W77" s="30">
        <f t="shared" si="42"/>
        <v>6.1073328776961402</v>
      </c>
      <c r="X77">
        <v>9</v>
      </c>
    </row>
    <row r="78" spans="1:24" ht="12.9" customHeight="1" x14ac:dyDescent="0.25">
      <c r="A78" s="11" t="s">
        <v>68</v>
      </c>
      <c r="B78" s="12">
        <f t="shared" si="43"/>
        <v>69</v>
      </c>
      <c r="C78" s="63">
        <v>135</v>
      </c>
      <c r="D78" s="54">
        <f t="shared" si="15"/>
        <v>135</v>
      </c>
      <c r="E78" s="13">
        <f t="shared" si="30"/>
        <v>5.3149606299212602</v>
      </c>
      <c r="F78" s="45">
        <v>35</v>
      </c>
      <c r="G78" s="14">
        <v>0</v>
      </c>
      <c r="H78" s="13">
        <f t="shared" si="31"/>
        <v>15</v>
      </c>
      <c r="I78" s="14">
        <v>3</v>
      </c>
      <c r="J78" s="14">
        <v>0</v>
      </c>
      <c r="K78" s="14">
        <f t="shared" si="32"/>
        <v>155.58625830996291</v>
      </c>
      <c r="L78" s="14">
        <f t="shared" si="33"/>
        <v>466.75877492988877</v>
      </c>
      <c r="M78" s="15">
        <f t="shared" si="34"/>
        <v>0.5024097723778187</v>
      </c>
      <c r="N78" s="16">
        <f t="shared" si="35"/>
        <v>4.2388316306903935</v>
      </c>
      <c r="O78" s="16">
        <f t="shared" si="36"/>
        <v>0</v>
      </c>
      <c r="P78" s="16">
        <f t="shared" si="37"/>
        <v>0</v>
      </c>
      <c r="Q78" s="17">
        <f t="shared" si="38"/>
        <v>4.2388316306903935</v>
      </c>
      <c r="R78" s="17">
        <f t="shared" si="39"/>
        <v>67.821306091046296</v>
      </c>
      <c r="S78" s="14">
        <f t="shared" si="40"/>
        <v>261.15603802528614</v>
      </c>
      <c r="T78" s="67">
        <f t="shared" si="41"/>
        <v>1396.9129257320155</v>
      </c>
      <c r="U78" s="12">
        <f t="shared" si="44"/>
        <v>69</v>
      </c>
      <c r="V78">
        <v>0.75</v>
      </c>
      <c r="W78" s="30">
        <f t="shared" si="42"/>
        <v>6.1096835932084286</v>
      </c>
      <c r="X78">
        <v>9</v>
      </c>
    </row>
    <row r="79" spans="1:24" ht="12.9" customHeight="1" x14ac:dyDescent="0.25">
      <c r="A79" s="11" t="s">
        <v>69</v>
      </c>
      <c r="B79" s="12">
        <f t="shared" si="43"/>
        <v>70</v>
      </c>
      <c r="C79" s="63">
        <v>129</v>
      </c>
      <c r="D79" s="54">
        <f t="shared" si="15"/>
        <v>129</v>
      </c>
      <c r="E79" s="13">
        <f t="shared" si="30"/>
        <v>5.0787401574803148</v>
      </c>
      <c r="F79" s="45">
        <v>35</v>
      </c>
      <c r="G79" s="14">
        <v>0</v>
      </c>
      <c r="H79" s="13">
        <f t="shared" si="31"/>
        <v>15</v>
      </c>
      <c r="I79" s="14">
        <v>3</v>
      </c>
      <c r="J79" s="14">
        <v>0</v>
      </c>
      <c r="K79" s="14">
        <f t="shared" si="32"/>
        <v>159.4611112019181</v>
      </c>
      <c r="L79" s="14">
        <f t="shared" si="33"/>
        <v>478.38333360575427</v>
      </c>
      <c r="M79" s="15">
        <f t="shared" si="34"/>
        <v>0.51492221390441129</v>
      </c>
      <c r="N79" s="16">
        <f t="shared" si="35"/>
        <v>4.5295048943884231</v>
      </c>
      <c r="O79" s="16">
        <f t="shared" si="36"/>
        <v>0</v>
      </c>
      <c r="P79" s="16">
        <f t="shared" si="37"/>
        <v>0</v>
      </c>
      <c r="Q79" s="17">
        <f t="shared" si="38"/>
        <v>4.5295048943884231</v>
      </c>
      <c r="R79" s="17">
        <f t="shared" si="39"/>
        <v>72.472078310214769</v>
      </c>
      <c r="S79" s="14">
        <f t="shared" si="40"/>
        <v>264.38806486102197</v>
      </c>
      <c r="T79" s="67">
        <f t="shared" si="41"/>
        <v>1479.9776908465378</v>
      </c>
      <c r="U79" s="12">
        <f t="shared" si="44"/>
        <v>70</v>
      </c>
      <c r="V79">
        <v>0.75</v>
      </c>
      <c r="W79" s="30">
        <f t="shared" si="42"/>
        <v>6.2618443649708713</v>
      </c>
      <c r="X79">
        <v>9</v>
      </c>
    </row>
    <row r="80" spans="1:24" ht="12.9" customHeight="1" x14ac:dyDescent="0.25">
      <c r="A80" s="36" t="s">
        <v>70</v>
      </c>
      <c r="B80" s="37">
        <f t="shared" si="43"/>
        <v>71</v>
      </c>
      <c r="C80" s="69">
        <v>123</v>
      </c>
      <c r="D80" s="65">
        <f t="shared" si="15"/>
        <v>123</v>
      </c>
      <c r="E80" s="38">
        <f t="shared" si="30"/>
        <v>4.8425196850393704</v>
      </c>
      <c r="F80" s="46">
        <v>34</v>
      </c>
      <c r="G80" s="39">
        <v>0</v>
      </c>
      <c r="H80" s="38">
        <f t="shared" si="31"/>
        <v>14.5</v>
      </c>
      <c r="I80" s="39">
        <v>3</v>
      </c>
      <c r="J80" s="39">
        <v>0</v>
      </c>
      <c r="K80" s="39">
        <f t="shared" si="32"/>
        <v>153.56031691999809</v>
      </c>
      <c r="L80" s="39">
        <f t="shared" si="33"/>
        <v>460.68095075999429</v>
      </c>
      <c r="M80" s="40">
        <f t="shared" si="34"/>
        <v>0.52546536548442246</v>
      </c>
      <c r="N80" s="41">
        <f t="shared" si="35"/>
        <v>4.6072227300997506</v>
      </c>
      <c r="O80" s="41">
        <f t="shared" si="36"/>
        <v>0</v>
      </c>
      <c r="P80" s="41">
        <f t="shared" si="37"/>
        <v>0</v>
      </c>
      <c r="Q80" s="42">
        <f t="shared" si="38"/>
        <v>4.6072227300997506</v>
      </c>
      <c r="R80" s="42">
        <f t="shared" si="39"/>
        <v>73.715563681596009</v>
      </c>
      <c r="S80" s="39">
        <f t="shared" si="40"/>
        <v>252.03730412667738</v>
      </c>
      <c r="T80" s="68">
        <f t="shared" si="41"/>
        <v>1567.9817439269962</v>
      </c>
      <c r="U80" s="12">
        <f t="shared" si="44"/>
        <v>71</v>
      </c>
      <c r="V80">
        <v>0.75</v>
      </c>
      <c r="W80" s="30">
        <f t="shared" si="42"/>
        <v>6.0301273328707676</v>
      </c>
      <c r="X80">
        <v>9</v>
      </c>
    </row>
    <row r="81" spans="1:24" ht="12.9" customHeight="1" x14ac:dyDescent="0.25">
      <c r="A81" s="11" t="s">
        <v>71</v>
      </c>
      <c r="B81" s="12">
        <f t="shared" si="43"/>
        <v>72</v>
      </c>
      <c r="C81" s="63">
        <v>112</v>
      </c>
      <c r="D81" s="54">
        <f t="shared" si="15"/>
        <v>112</v>
      </c>
      <c r="E81" s="13">
        <f t="shared" si="30"/>
        <v>4.409448818897638</v>
      </c>
      <c r="F81" s="45">
        <v>34</v>
      </c>
      <c r="G81" s="14">
        <v>0</v>
      </c>
      <c r="H81" s="13">
        <f t="shared" si="31"/>
        <v>14.5</v>
      </c>
      <c r="I81" s="14">
        <v>3</v>
      </c>
      <c r="J81" s="14">
        <v>0</v>
      </c>
      <c r="K81" s="14">
        <f t="shared" si="32"/>
        <v>142.91456381713672</v>
      </c>
      <c r="L81" s="14">
        <f t="shared" si="33"/>
        <v>428.7436914514102</v>
      </c>
      <c r="M81" s="15">
        <f t="shared" si="34"/>
        <v>0.48903684894283239</v>
      </c>
      <c r="N81" s="16">
        <f t="shared" si="35"/>
        <v>5.9705714137369359</v>
      </c>
      <c r="O81" s="16">
        <f t="shared" si="36"/>
        <v>0</v>
      </c>
      <c r="P81" s="16">
        <f t="shared" si="37"/>
        <v>0</v>
      </c>
      <c r="Q81" s="17">
        <f t="shared" si="38"/>
        <v>5.9705714137369359</v>
      </c>
      <c r="R81" s="17">
        <f t="shared" si="39"/>
        <v>95.529142619790974</v>
      </c>
      <c r="S81" s="14">
        <f t="shared" si="40"/>
        <v>243.14400713732326</v>
      </c>
      <c r="T81" s="67">
        <f t="shared" si="41"/>
        <v>1661.2187903197812</v>
      </c>
      <c r="U81" s="12">
        <f t="shared" si="44"/>
        <v>72</v>
      </c>
      <c r="V81">
        <v>1</v>
      </c>
      <c r="W81" s="30">
        <f t="shared" si="42"/>
        <v>7.482609160631287</v>
      </c>
      <c r="X81">
        <v>9</v>
      </c>
    </row>
    <row r="82" spans="1:24" ht="12.9" customHeight="1" x14ac:dyDescent="0.25">
      <c r="A82" s="11" t="s">
        <v>72</v>
      </c>
      <c r="B82" s="12">
        <f t="shared" si="43"/>
        <v>73</v>
      </c>
      <c r="C82" s="63">
        <v>108</v>
      </c>
      <c r="D82" s="54">
        <f t="shared" si="15"/>
        <v>108</v>
      </c>
      <c r="E82" s="13">
        <f t="shared" si="30"/>
        <v>4.2519685039370083</v>
      </c>
      <c r="F82" s="45">
        <v>34</v>
      </c>
      <c r="G82" s="14">
        <v>0</v>
      </c>
      <c r="H82" s="13">
        <f t="shared" si="31"/>
        <v>14.5</v>
      </c>
      <c r="I82" s="14">
        <v>3</v>
      </c>
      <c r="J82" s="14">
        <v>0</v>
      </c>
      <c r="K82" s="14">
        <f t="shared" si="32"/>
        <v>149.16248835691835</v>
      </c>
      <c r="L82" s="14">
        <f t="shared" si="33"/>
        <v>447.48746507075504</v>
      </c>
      <c r="M82" s="15">
        <f t="shared" si="34"/>
        <v>0.51041651276265798</v>
      </c>
      <c r="N82" s="16">
        <f t="shared" si="35"/>
        <v>6.1520704494458478</v>
      </c>
      <c r="O82" s="16">
        <f t="shared" si="36"/>
        <v>0</v>
      </c>
      <c r="P82" s="16">
        <f t="shared" si="37"/>
        <v>0</v>
      </c>
      <c r="Q82" s="17">
        <f t="shared" si="38"/>
        <v>6.1520704494458478</v>
      </c>
      <c r="R82" s="17">
        <f t="shared" si="39"/>
        <v>98.433127191133565</v>
      </c>
      <c r="S82" s="14">
        <f t="shared" si="40"/>
        <v>248.40202709889036</v>
      </c>
      <c r="T82" s="67">
        <f t="shared" si="41"/>
        <v>1760</v>
      </c>
      <c r="U82" s="12">
        <f t="shared" si="44"/>
        <v>73</v>
      </c>
      <c r="V82">
        <v>1</v>
      </c>
      <c r="W82" s="30">
        <f t="shared" si="42"/>
        <v>7.8097331160045256</v>
      </c>
      <c r="X82">
        <v>9</v>
      </c>
    </row>
    <row r="83" spans="1:24" ht="12.9" customHeight="1" x14ac:dyDescent="0.25">
      <c r="A83" s="11" t="s">
        <v>73</v>
      </c>
      <c r="B83" s="12">
        <f t="shared" si="43"/>
        <v>74</v>
      </c>
      <c r="C83" s="63">
        <v>98</v>
      </c>
      <c r="D83" s="54">
        <f t="shared" si="15"/>
        <v>98</v>
      </c>
      <c r="E83" s="13">
        <f t="shared" si="30"/>
        <v>3.8582677165354333</v>
      </c>
      <c r="F83" s="45">
        <v>34</v>
      </c>
      <c r="G83" s="14">
        <v>0</v>
      </c>
      <c r="H83" s="13">
        <f t="shared" si="31"/>
        <v>14.5</v>
      </c>
      <c r="I83" s="14">
        <v>3</v>
      </c>
      <c r="J83" s="14">
        <v>0</v>
      </c>
      <c r="K83" s="14">
        <f t="shared" si="32"/>
        <v>137.85925464371834</v>
      </c>
      <c r="L83" s="14">
        <f t="shared" si="33"/>
        <v>413.577763931155</v>
      </c>
      <c r="M83" s="15">
        <f t="shared" si="34"/>
        <v>0.47173817480795827</v>
      </c>
      <c r="N83" s="16">
        <f t="shared" si="35"/>
        <v>8.084261503748186</v>
      </c>
      <c r="O83" s="16">
        <f t="shared" si="36"/>
        <v>0</v>
      </c>
      <c r="P83" s="16">
        <f t="shared" si="37"/>
        <v>0</v>
      </c>
      <c r="Q83" s="17">
        <f t="shared" si="38"/>
        <v>8.084261503748186</v>
      </c>
      <c r="R83" s="17">
        <f t="shared" si="39"/>
        <v>129.34818405997098</v>
      </c>
      <c r="S83" s="14">
        <f t="shared" si="40"/>
        <v>238.80493024981996</v>
      </c>
      <c r="T83" s="67">
        <f t="shared" si="41"/>
        <v>1864.6550460723593</v>
      </c>
      <c r="U83" s="12">
        <f t="shared" si="44"/>
        <v>74</v>
      </c>
      <c r="V83">
        <v>1</v>
      </c>
      <c r="W83" s="30">
        <f t="shared" si="42"/>
        <v>7.2179272295494101</v>
      </c>
      <c r="X83">
        <v>10</v>
      </c>
    </row>
    <row r="84" spans="1:24" ht="12.9" customHeight="1" x14ac:dyDescent="0.25">
      <c r="A84" s="11" t="s">
        <v>74</v>
      </c>
      <c r="B84" s="12">
        <f t="shared" si="43"/>
        <v>75</v>
      </c>
      <c r="C84" s="63">
        <v>95</v>
      </c>
      <c r="D84" s="54">
        <f t="shared" si="15"/>
        <v>95</v>
      </c>
      <c r="E84" s="13">
        <f t="shared" si="30"/>
        <v>3.7401574803149606</v>
      </c>
      <c r="F84" s="45">
        <v>33</v>
      </c>
      <c r="G84" s="14">
        <v>0</v>
      </c>
      <c r="H84" s="13">
        <f t="shared" si="31"/>
        <v>14</v>
      </c>
      <c r="I84" s="14">
        <v>3</v>
      </c>
      <c r="J84" s="14">
        <v>0</v>
      </c>
      <c r="K84" s="14">
        <f t="shared" si="32"/>
        <v>136.98489995943544</v>
      </c>
      <c r="L84" s="14">
        <f t="shared" si="33"/>
        <v>410.95469987830631</v>
      </c>
      <c r="M84" s="15">
        <f t="shared" si="34"/>
        <v>0.49758553588036369</v>
      </c>
      <c r="N84" s="16">
        <f t="shared" si="35"/>
        <v>7.6833145740547506</v>
      </c>
      <c r="O84" s="16">
        <f t="shared" si="36"/>
        <v>0</v>
      </c>
      <c r="P84" s="16">
        <f t="shared" si="37"/>
        <v>0</v>
      </c>
      <c r="Q84" s="17">
        <f t="shared" si="38"/>
        <v>7.6833145740547506</v>
      </c>
      <c r="R84" s="17">
        <f t="shared" si="39"/>
        <v>122.93303318487601</v>
      </c>
      <c r="S84" s="14">
        <f t="shared" si="40"/>
        <v>231.04506519520842</v>
      </c>
      <c r="T84" s="67">
        <f t="shared" si="41"/>
        <v>1975.5332050244965</v>
      </c>
      <c r="U84" s="12">
        <f t="shared" si="44"/>
        <v>75</v>
      </c>
      <c r="V84">
        <v>1</v>
      </c>
      <c r="W84" s="30">
        <f t="shared" si="42"/>
        <v>7.1721484495880663</v>
      </c>
      <c r="X84">
        <v>10</v>
      </c>
    </row>
    <row r="85" spans="1:24" ht="12.9" customHeight="1" x14ac:dyDescent="0.25">
      <c r="A85" s="11" t="s">
        <v>39</v>
      </c>
      <c r="B85" s="12">
        <f t="shared" si="43"/>
        <v>76</v>
      </c>
      <c r="C85" s="63">
        <v>90</v>
      </c>
      <c r="D85" s="54">
        <f t="shared" si="15"/>
        <v>90</v>
      </c>
      <c r="E85" s="13">
        <f t="shared" si="30"/>
        <v>3.5433070866141736</v>
      </c>
      <c r="F85" s="45">
        <v>33</v>
      </c>
      <c r="G85" s="14">
        <v>0</v>
      </c>
      <c r="H85" s="13">
        <f t="shared" si="31"/>
        <v>14</v>
      </c>
      <c r="I85" s="14">
        <v>3</v>
      </c>
      <c r="J85" s="14">
        <v>0</v>
      </c>
      <c r="K85" s="14">
        <f t="shared" si="32"/>
        <v>138.00098020021846</v>
      </c>
      <c r="L85" s="14">
        <f t="shared" si="33"/>
        <v>414.00294060065539</v>
      </c>
      <c r="M85" s="15">
        <f t="shared" si="34"/>
        <v>0.50127635750564636</v>
      </c>
      <c r="N85" s="16">
        <f t="shared" si="35"/>
        <v>8.4976987725861406</v>
      </c>
      <c r="O85" s="16">
        <f t="shared" si="36"/>
        <v>0</v>
      </c>
      <c r="P85" s="16">
        <f t="shared" si="37"/>
        <v>0</v>
      </c>
      <c r="Q85" s="17">
        <f t="shared" si="38"/>
        <v>8.4976987725861406</v>
      </c>
      <c r="R85" s="17">
        <f t="shared" si="39"/>
        <v>135.96318036137825</v>
      </c>
      <c r="S85" s="14">
        <f t="shared" si="40"/>
        <v>231.90036603931006</v>
      </c>
      <c r="T85" s="67">
        <f t="shared" si="41"/>
        <v>2093.0045224047894</v>
      </c>
      <c r="U85" s="12">
        <f t="shared" si="44"/>
        <v>76</v>
      </c>
      <c r="V85">
        <v>1</v>
      </c>
      <c r="W85" s="30">
        <f t="shared" si="42"/>
        <v>7.2253475855931812</v>
      </c>
      <c r="X85">
        <v>10</v>
      </c>
    </row>
    <row r="86" spans="1:24" ht="12.9" customHeight="1" x14ac:dyDescent="0.25">
      <c r="A86" s="11" t="s">
        <v>75</v>
      </c>
      <c r="B86" s="12">
        <f t="shared" si="43"/>
        <v>77</v>
      </c>
      <c r="C86" s="63">
        <v>86</v>
      </c>
      <c r="D86" s="54">
        <f t="shared" si="15"/>
        <v>86</v>
      </c>
      <c r="E86" s="13">
        <f t="shared" si="30"/>
        <v>3.3858267716535435</v>
      </c>
      <c r="F86" s="45">
        <v>33</v>
      </c>
      <c r="G86" s="14">
        <v>0</v>
      </c>
      <c r="H86" s="13">
        <f t="shared" si="31"/>
        <v>14</v>
      </c>
      <c r="I86" s="14">
        <v>3</v>
      </c>
      <c r="J86" s="14">
        <v>0</v>
      </c>
      <c r="K86" s="14">
        <f t="shared" si="32"/>
        <v>141.43787432589457</v>
      </c>
      <c r="L86" s="14">
        <f t="shared" si="33"/>
        <v>424.31362297768374</v>
      </c>
      <c r="M86" s="15">
        <f t="shared" si="34"/>
        <v>0.51376057150145926</v>
      </c>
      <c r="N86" s="16">
        <f t="shared" si="35"/>
        <v>9.0804192133478061</v>
      </c>
      <c r="O86" s="16">
        <f t="shared" si="36"/>
        <v>0</v>
      </c>
      <c r="P86" s="16">
        <f t="shared" si="37"/>
        <v>0</v>
      </c>
      <c r="Q86" s="17">
        <f t="shared" si="38"/>
        <v>9.0804192133478061</v>
      </c>
      <c r="R86" s="17">
        <f t="shared" si="39"/>
        <v>145.2867074135649</v>
      </c>
      <c r="S86" s="14">
        <f t="shared" si="40"/>
        <v>234.77032919208</v>
      </c>
      <c r="T86" s="67">
        <f t="shared" si="41"/>
        <v>2217.4610478149752</v>
      </c>
      <c r="U86" s="12">
        <f t="shared" si="44"/>
        <v>77</v>
      </c>
      <c r="V86">
        <v>1</v>
      </c>
      <c r="W86" s="30">
        <f t="shared" si="42"/>
        <v>7.4052938050828168</v>
      </c>
      <c r="X86">
        <v>10</v>
      </c>
    </row>
    <row r="87" spans="1:24" ht="12.9" customHeight="1" x14ac:dyDescent="0.25">
      <c r="A87" s="11" t="s">
        <v>76</v>
      </c>
      <c r="B87" s="12">
        <f t="shared" si="43"/>
        <v>78</v>
      </c>
      <c r="C87" s="63">
        <v>81</v>
      </c>
      <c r="D87" s="54">
        <f t="shared" si="15"/>
        <v>81</v>
      </c>
      <c r="E87" s="13">
        <f t="shared" si="30"/>
        <v>3.188976377952756</v>
      </c>
      <c r="F87" s="45">
        <v>33</v>
      </c>
      <c r="G87" s="14">
        <v>0</v>
      </c>
      <c r="H87" s="13">
        <f t="shared" si="31"/>
        <v>14</v>
      </c>
      <c r="I87" s="14">
        <v>3</v>
      </c>
      <c r="J87" s="14">
        <v>0</v>
      </c>
      <c r="K87" s="14">
        <f t="shared" si="32"/>
        <v>140.83497528690853</v>
      </c>
      <c r="L87" s="14">
        <f t="shared" si="33"/>
        <v>422.50492586072562</v>
      </c>
      <c r="M87" s="15">
        <f t="shared" si="34"/>
        <v>0.51157059405515348</v>
      </c>
      <c r="N87" s="16">
        <f t="shared" si="35"/>
        <v>10.279878045200514</v>
      </c>
      <c r="O87" s="16">
        <f t="shared" si="36"/>
        <v>0</v>
      </c>
      <c r="P87" s="16">
        <f t="shared" si="37"/>
        <v>0</v>
      </c>
      <c r="Q87" s="17">
        <f t="shared" si="38"/>
        <v>10.279878045200514</v>
      </c>
      <c r="R87" s="17">
        <f t="shared" si="39"/>
        <v>164.47804872320822</v>
      </c>
      <c r="S87" s="14">
        <f t="shared" si="40"/>
        <v>234.26942388135961</v>
      </c>
      <c r="T87" s="67">
        <f t="shared" si="41"/>
        <v>2349.318143339261</v>
      </c>
      <c r="U87" s="12">
        <f t="shared" si="44"/>
        <v>78</v>
      </c>
      <c r="V87">
        <v>1</v>
      </c>
      <c r="W87" s="30">
        <f t="shared" si="42"/>
        <v>7.3737276878757205</v>
      </c>
      <c r="X87">
        <v>10</v>
      </c>
    </row>
    <row r="88" spans="1:24" ht="12.9" customHeight="1" x14ac:dyDescent="0.25">
      <c r="A88" s="11" t="s">
        <v>77</v>
      </c>
      <c r="B88" s="12">
        <f t="shared" si="43"/>
        <v>79</v>
      </c>
      <c r="C88" s="63">
        <v>76</v>
      </c>
      <c r="D88" s="54">
        <f t="shared" si="15"/>
        <v>76</v>
      </c>
      <c r="E88" s="13">
        <f t="shared" si="30"/>
        <v>2.9921259842519685</v>
      </c>
      <c r="F88" s="45">
        <v>32</v>
      </c>
      <c r="G88" s="14">
        <v>0</v>
      </c>
      <c r="H88" s="13">
        <f t="shared" si="31"/>
        <v>13.5</v>
      </c>
      <c r="I88" s="14">
        <v>3</v>
      </c>
      <c r="J88" s="14">
        <v>0</v>
      </c>
      <c r="K88" s="14">
        <f t="shared" si="32"/>
        <v>130.86135459764245</v>
      </c>
      <c r="L88" s="14">
        <f t="shared" si="33"/>
        <v>392.58406379292734</v>
      </c>
      <c r="M88" s="15">
        <f t="shared" si="34"/>
        <v>0.50551539398441525</v>
      </c>
      <c r="N88" s="16">
        <f t="shared" si="35"/>
        <v>11.111535542717695</v>
      </c>
      <c r="O88" s="16">
        <f t="shared" si="36"/>
        <v>0</v>
      </c>
      <c r="P88" s="16">
        <f t="shared" si="37"/>
        <v>0</v>
      </c>
      <c r="Q88" s="17">
        <f t="shared" si="38"/>
        <v>11.111535542717695</v>
      </c>
      <c r="R88" s="17">
        <f t="shared" si="39"/>
        <v>177.78456868348312</v>
      </c>
      <c r="S88" s="14">
        <f t="shared" si="40"/>
        <v>218.97881072580856</v>
      </c>
      <c r="T88" s="67">
        <f t="shared" si="41"/>
        <v>2489.0158697766465</v>
      </c>
      <c r="U88" s="12">
        <f t="shared" si="44"/>
        <v>79</v>
      </c>
      <c r="V88">
        <v>1</v>
      </c>
      <c r="W88" s="30">
        <f t="shared" si="42"/>
        <v>6.8515366421146062</v>
      </c>
      <c r="X88">
        <v>10</v>
      </c>
    </row>
    <row r="89" spans="1:24" ht="12.9" customHeight="1" x14ac:dyDescent="0.25">
      <c r="A89" s="11" t="s">
        <v>78</v>
      </c>
      <c r="B89" s="12">
        <f t="shared" si="43"/>
        <v>80</v>
      </c>
      <c r="C89" s="63">
        <v>72</v>
      </c>
      <c r="D89" s="54">
        <f t="shared" si="15"/>
        <v>72</v>
      </c>
      <c r="E89" s="13">
        <f t="shared" si="30"/>
        <v>2.8346456692913389</v>
      </c>
      <c r="F89" s="45">
        <v>32</v>
      </c>
      <c r="G89" s="14">
        <v>0</v>
      </c>
      <c r="H89" s="13">
        <f t="shared" si="31"/>
        <v>13.5</v>
      </c>
      <c r="I89" s="14">
        <v>3</v>
      </c>
      <c r="J89" s="14">
        <v>0</v>
      </c>
      <c r="K89" s="14">
        <f t="shared" si="32"/>
        <v>131.83201367560031</v>
      </c>
      <c r="L89" s="14">
        <f t="shared" si="33"/>
        <v>395.49604102680092</v>
      </c>
      <c r="M89" s="15">
        <f t="shared" si="34"/>
        <v>0.50926503502800002</v>
      </c>
      <c r="N89" s="16">
        <f t="shared" si="35"/>
        <v>12.289290127694118</v>
      </c>
      <c r="O89" s="16">
        <f t="shared" si="36"/>
        <v>0</v>
      </c>
      <c r="P89" s="16">
        <f t="shared" si="37"/>
        <v>0</v>
      </c>
      <c r="Q89" s="17">
        <f t="shared" si="38"/>
        <v>12.289290127694118</v>
      </c>
      <c r="R89" s="17">
        <f t="shared" si="39"/>
        <v>196.62864204310588</v>
      </c>
      <c r="S89" s="14">
        <f t="shared" si="40"/>
        <v>219.78944375748975</v>
      </c>
      <c r="T89" s="67">
        <f t="shared" si="41"/>
        <v>2637.0204553029589</v>
      </c>
      <c r="U89" s="12">
        <f t="shared" si="44"/>
        <v>80</v>
      </c>
      <c r="V89">
        <v>1</v>
      </c>
      <c r="W89" s="30">
        <f t="shared" si="42"/>
        <v>6.902357652336284</v>
      </c>
      <c r="X89">
        <v>10</v>
      </c>
    </row>
    <row r="90" spans="1:24" ht="12.9" customHeight="1" x14ac:dyDescent="0.25">
      <c r="A90" s="11" t="s">
        <v>79</v>
      </c>
      <c r="B90" s="12">
        <f t="shared" si="43"/>
        <v>81</v>
      </c>
      <c r="C90" s="63">
        <v>68</v>
      </c>
      <c r="D90" s="54">
        <f t="shared" si="15"/>
        <v>68</v>
      </c>
      <c r="E90" s="13">
        <f t="shared" si="30"/>
        <v>2.6771653543307088</v>
      </c>
      <c r="F90" s="45">
        <v>32</v>
      </c>
      <c r="G90" s="14">
        <v>0</v>
      </c>
      <c r="H90" s="13">
        <f t="shared" si="31"/>
        <v>13.5</v>
      </c>
      <c r="I90" s="14">
        <v>3</v>
      </c>
      <c r="J90" s="14">
        <v>0</v>
      </c>
      <c r="K90" s="14">
        <f t="shared" si="32"/>
        <v>131.99132369686845</v>
      </c>
      <c r="L90" s="14">
        <f t="shared" si="33"/>
        <v>395.97397109060535</v>
      </c>
      <c r="M90" s="15">
        <f t="shared" si="34"/>
        <v>0.50988044718244885</v>
      </c>
      <c r="N90" s="16">
        <f t="shared" si="35"/>
        <v>13.760983249267968</v>
      </c>
      <c r="O90" s="16">
        <f t="shared" si="36"/>
        <v>0</v>
      </c>
      <c r="P90" s="16">
        <f t="shared" si="37"/>
        <v>0</v>
      </c>
      <c r="Q90" s="17">
        <f t="shared" si="38"/>
        <v>13.760983249267968</v>
      </c>
      <c r="R90" s="17">
        <f t="shared" si="39"/>
        <v>220.17573198828748</v>
      </c>
      <c r="S90" s="14">
        <f t="shared" si="40"/>
        <v>219.92220395799515</v>
      </c>
      <c r="T90" s="67">
        <f t="shared" si="41"/>
        <v>2793.8258514640311</v>
      </c>
      <c r="U90" s="12">
        <f t="shared" si="44"/>
        <v>81</v>
      </c>
      <c r="V90">
        <v>1</v>
      </c>
      <c r="W90" s="30">
        <f t="shared" si="42"/>
        <v>6.9106986820583955</v>
      </c>
      <c r="X90">
        <v>10</v>
      </c>
    </row>
    <row r="91" spans="1:24" ht="12.9" customHeight="1" x14ac:dyDescent="0.25">
      <c r="A91" s="11" t="s">
        <v>80</v>
      </c>
      <c r="B91" s="12">
        <f t="shared" si="43"/>
        <v>82</v>
      </c>
      <c r="C91" s="63">
        <v>65</v>
      </c>
      <c r="D91" s="54">
        <f t="shared" si="15"/>
        <v>65</v>
      </c>
      <c r="E91" s="13">
        <f t="shared" si="30"/>
        <v>2.5590551181102366</v>
      </c>
      <c r="F91" s="45">
        <v>32</v>
      </c>
      <c r="G91" s="14">
        <v>0</v>
      </c>
      <c r="H91" s="13">
        <f t="shared" si="31"/>
        <v>13.5</v>
      </c>
      <c r="I91" s="14">
        <v>3</v>
      </c>
      <c r="J91" s="14">
        <v>0</v>
      </c>
      <c r="K91" s="14">
        <f t="shared" si="32"/>
        <v>135.37109381995612</v>
      </c>
      <c r="L91" s="14">
        <f t="shared" si="33"/>
        <v>406.11328145986835</v>
      </c>
      <c r="M91" s="15">
        <f t="shared" si="34"/>
        <v>0.52293644702749553</v>
      </c>
      <c r="N91" s="16">
        <f t="shared" si="35"/>
        <v>14.684529109516129</v>
      </c>
      <c r="O91" s="16">
        <f t="shared" si="36"/>
        <v>0</v>
      </c>
      <c r="P91" s="16">
        <f t="shared" si="37"/>
        <v>0</v>
      </c>
      <c r="Q91" s="17">
        <f t="shared" si="38"/>
        <v>14.684529109516129</v>
      </c>
      <c r="R91" s="17">
        <f t="shared" si="39"/>
        <v>234.95246575225806</v>
      </c>
      <c r="S91" s="14">
        <f t="shared" si="40"/>
        <v>222.7200708387866</v>
      </c>
      <c r="T91" s="67">
        <f t="shared" si="41"/>
        <v>2959.9553816930757</v>
      </c>
      <c r="U91" s="12">
        <f t="shared" si="44"/>
        <v>82</v>
      </c>
      <c r="V91">
        <v>1</v>
      </c>
      <c r="W91" s="30">
        <f t="shared" si="42"/>
        <v>7.0876540476165371</v>
      </c>
      <c r="X91">
        <v>10</v>
      </c>
    </row>
    <row r="92" spans="1:24" ht="12.9" customHeight="1" x14ac:dyDescent="0.25">
      <c r="A92" s="11" t="s">
        <v>81</v>
      </c>
      <c r="B92" s="12">
        <f t="shared" si="43"/>
        <v>83</v>
      </c>
      <c r="C92" s="63">
        <v>62</v>
      </c>
      <c r="D92" s="54">
        <f t="shared" si="15"/>
        <v>62</v>
      </c>
      <c r="E92" s="13">
        <f t="shared" si="30"/>
        <v>2.4409448818897639</v>
      </c>
      <c r="F92" s="45">
        <v>31</v>
      </c>
      <c r="G92" s="14">
        <v>0</v>
      </c>
      <c r="H92" s="13">
        <f t="shared" si="31"/>
        <v>13</v>
      </c>
      <c r="I92" s="14">
        <v>3</v>
      </c>
      <c r="J92" s="14">
        <v>0</v>
      </c>
      <c r="K92" s="14">
        <f t="shared" si="32"/>
        <v>129.74113735349911</v>
      </c>
      <c r="L92" s="14">
        <f t="shared" si="33"/>
        <v>389.22341206049737</v>
      </c>
      <c r="M92" s="15">
        <f t="shared" si="34"/>
        <v>0.53404425009508116</v>
      </c>
      <c r="N92" s="16">
        <f t="shared" si="35"/>
        <v>14.831957015530726</v>
      </c>
      <c r="O92" s="16">
        <f t="shared" si="36"/>
        <v>0</v>
      </c>
      <c r="P92" s="16">
        <f t="shared" si="37"/>
        <v>0</v>
      </c>
      <c r="Q92" s="17">
        <f t="shared" si="38"/>
        <v>14.831957015530726</v>
      </c>
      <c r="R92" s="17">
        <f t="shared" si="39"/>
        <v>237.31131224849162</v>
      </c>
      <c r="S92" s="14">
        <f t="shared" si="40"/>
        <v>211.22579478543472</v>
      </c>
      <c r="T92" s="67">
        <f t="shared" si="41"/>
        <v>3135.9634878539928</v>
      </c>
      <c r="U92" s="12">
        <f t="shared" si="44"/>
        <v>83</v>
      </c>
      <c r="V92">
        <v>1</v>
      </c>
      <c r="W92" s="30">
        <f t="shared" si="42"/>
        <v>6.792885182186077</v>
      </c>
      <c r="X92">
        <v>11</v>
      </c>
    </row>
    <row r="93" spans="1:24" ht="12.9" customHeight="1" x14ac:dyDescent="0.25">
      <c r="A93" s="11" t="s">
        <v>82</v>
      </c>
      <c r="B93" s="12">
        <f t="shared" si="43"/>
        <v>84</v>
      </c>
      <c r="C93" s="63">
        <v>59</v>
      </c>
      <c r="D93" s="54">
        <f t="shared" si="15"/>
        <v>59</v>
      </c>
      <c r="E93" s="13">
        <f t="shared" si="30"/>
        <v>2.3228346456692917</v>
      </c>
      <c r="F93" s="45">
        <v>31</v>
      </c>
      <c r="G93" s="14">
        <v>0</v>
      </c>
      <c r="H93" s="13">
        <f t="shared" si="31"/>
        <v>13</v>
      </c>
      <c r="I93" s="14">
        <v>3</v>
      </c>
      <c r="J93" s="14">
        <v>0</v>
      </c>
      <c r="K93" s="14">
        <f t="shared" si="32"/>
        <v>131.87728907138293</v>
      </c>
      <c r="L93" s="14">
        <f t="shared" si="33"/>
        <v>395.63186721414877</v>
      </c>
      <c r="M93" s="15">
        <f t="shared" si="34"/>
        <v>0.54283714004145422</v>
      </c>
      <c r="N93" s="16">
        <f t="shared" si="35"/>
        <v>16.11333750002181</v>
      </c>
      <c r="O93" s="16">
        <f t="shared" si="36"/>
        <v>0</v>
      </c>
      <c r="P93" s="16">
        <f t="shared" si="37"/>
        <v>0</v>
      </c>
      <c r="Q93" s="17">
        <f t="shared" si="38"/>
        <v>16.11333750002181</v>
      </c>
      <c r="R93" s="17">
        <f t="shared" si="39"/>
        <v>257.81340000034896</v>
      </c>
      <c r="S93" s="14">
        <f t="shared" si="40"/>
        <v>212.95758249936813</v>
      </c>
      <c r="T93" s="67">
        <f t="shared" si="41"/>
        <v>3322.4375806395628</v>
      </c>
      <c r="U93" s="12">
        <f t="shared" si="44"/>
        <v>84</v>
      </c>
      <c r="V93">
        <v>1</v>
      </c>
      <c r="W93" s="30">
        <f t="shared" si="42"/>
        <v>6.9047281461627055</v>
      </c>
      <c r="X93">
        <v>11</v>
      </c>
    </row>
    <row r="94" spans="1:24" ht="12.9" customHeight="1" x14ac:dyDescent="0.25">
      <c r="A94" s="11" t="s">
        <v>83</v>
      </c>
      <c r="B94" s="12">
        <f t="shared" si="43"/>
        <v>85</v>
      </c>
      <c r="C94" s="63">
        <v>55</v>
      </c>
      <c r="D94" s="54">
        <f t="shared" si="15"/>
        <v>55</v>
      </c>
      <c r="E94" s="13">
        <f t="shared" si="30"/>
        <v>2.1653543307086616</v>
      </c>
      <c r="F94" s="45">
        <v>31</v>
      </c>
      <c r="G94" s="14">
        <v>0</v>
      </c>
      <c r="H94" s="13">
        <f t="shared" si="31"/>
        <v>13</v>
      </c>
      <c r="I94" s="14">
        <v>3</v>
      </c>
      <c r="J94" s="14">
        <v>0</v>
      </c>
      <c r="K94" s="14">
        <f t="shared" si="32"/>
        <v>128.63614977020069</v>
      </c>
      <c r="L94" s="14">
        <f t="shared" si="33"/>
        <v>385.90844931060207</v>
      </c>
      <c r="M94" s="15">
        <f t="shared" si="34"/>
        <v>0.52949586800652948</v>
      </c>
      <c r="N94" s="16">
        <f t="shared" si="35"/>
        <v>19.009518925585329</v>
      </c>
      <c r="O94" s="16">
        <f t="shared" si="36"/>
        <v>0</v>
      </c>
      <c r="P94" s="16">
        <f t="shared" si="37"/>
        <v>0</v>
      </c>
      <c r="Q94" s="17">
        <f t="shared" si="38"/>
        <v>19.009518925585329</v>
      </c>
      <c r="R94" s="17">
        <f t="shared" si="39"/>
        <v>304.15230280936527</v>
      </c>
      <c r="S94" s="14">
        <f t="shared" si="40"/>
        <v>210.32438072394987</v>
      </c>
      <c r="T94" s="67">
        <f t="shared" si="41"/>
        <v>3520</v>
      </c>
      <c r="U94" s="12">
        <f t="shared" si="44"/>
        <v>85</v>
      </c>
      <c r="V94">
        <v>1</v>
      </c>
      <c r="W94" s="30">
        <f t="shared" si="42"/>
        <v>6.7350311049504494</v>
      </c>
      <c r="X94">
        <v>11</v>
      </c>
    </row>
    <row r="95" spans="1:24" ht="12.9" customHeight="1" x14ac:dyDescent="0.25">
      <c r="A95" s="11" t="s">
        <v>84</v>
      </c>
      <c r="B95" s="12">
        <f t="shared" si="43"/>
        <v>86</v>
      </c>
      <c r="C95" s="63">
        <v>57</v>
      </c>
      <c r="D95" s="54">
        <f t="shared" si="15"/>
        <v>57</v>
      </c>
      <c r="E95" s="13">
        <f t="shared" si="30"/>
        <v>2.2440944881889764</v>
      </c>
      <c r="F95" s="45">
        <v>31</v>
      </c>
      <c r="G95" s="14">
        <v>0</v>
      </c>
      <c r="H95" s="13">
        <f t="shared" si="31"/>
        <v>13</v>
      </c>
      <c r="I95" s="14">
        <v>3</v>
      </c>
      <c r="J95" s="14">
        <v>0</v>
      </c>
      <c r="K95" s="14">
        <f t="shared" si="32"/>
        <v>155.08115646821054</v>
      </c>
      <c r="L95" s="14">
        <f t="shared" si="33"/>
        <v>465.24346940463158</v>
      </c>
      <c r="M95" s="15">
        <f t="shared" si="34"/>
        <v>0.63834957515662472</v>
      </c>
      <c r="N95" s="16">
        <f t="shared" si="35"/>
        <v>14.68083628624456</v>
      </c>
      <c r="O95" s="16">
        <f t="shared" si="36"/>
        <v>0</v>
      </c>
      <c r="P95" s="16">
        <f t="shared" si="37"/>
        <v>0</v>
      </c>
      <c r="Q95" s="17">
        <f t="shared" si="38"/>
        <v>14.68083628624456</v>
      </c>
      <c r="R95" s="17">
        <f t="shared" si="39"/>
        <v>234.89338057991296</v>
      </c>
      <c r="S95" s="14">
        <f t="shared" si="40"/>
        <v>230.93386173812559</v>
      </c>
      <c r="T95" s="67">
        <f t="shared" si="41"/>
        <v>3729.3100921447185</v>
      </c>
      <c r="U95" s="12">
        <f t="shared" si="44"/>
        <v>86</v>
      </c>
      <c r="V95">
        <v>1</v>
      </c>
      <c r="W95" s="30">
        <f t="shared" si="42"/>
        <v>8.1196181203415065</v>
      </c>
      <c r="X95">
        <v>11</v>
      </c>
    </row>
    <row r="96" spans="1:24" ht="12.9" customHeight="1" x14ac:dyDescent="0.25">
      <c r="A96" s="11" t="s">
        <v>85</v>
      </c>
      <c r="B96" s="12">
        <f t="shared" si="43"/>
        <v>87</v>
      </c>
      <c r="C96" s="63">
        <v>52</v>
      </c>
      <c r="D96" s="54">
        <f t="shared" si="15"/>
        <v>52</v>
      </c>
      <c r="E96" s="13">
        <f t="shared" si="30"/>
        <v>2.0472440944881889</v>
      </c>
      <c r="F96" s="45">
        <v>31</v>
      </c>
      <c r="G96" s="14">
        <v>0</v>
      </c>
      <c r="H96" s="13">
        <f t="shared" si="31"/>
        <v>13</v>
      </c>
      <c r="I96" s="14">
        <v>3</v>
      </c>
      <c r="J96" s="14">
        <v>0</v>
      </c>
      <c r="K96" s="14">
        <f t="shared" si="32"/>
        <v>144.87307316639212</v>
      </c>
      <c r="L96" s="14">
        <f t="shared" si="33"/>
        <v>434.61921949917632</v>
      </c>
      <c r="M96" s="15">
        <f t="shared" si="34"/>
        <v>0.59633076521684336</v>
      </c>
      <c r="N96" s="16">
        <f t="shared" si="35"/>
        <v>18.882747154760111</v>
      </c>
      <c r="O96" s="16">
        <f t="shared" si="36"/>
        <v>0</v>
      </c>
      <c r="P96" s="16">
        <f t="shared" si="37"/>
        <v>0</v>
      </c>
      <c r="Q96" s="17">
        <f t="shared" si="38"/>
        <v>18.882747154760111</v>
      </c>
      <c r="R96" s="17">
        <f t="shared" si="39"/>
        <v>302.12395447616177</v>
      </c>
      <c r="S96" s="14">
        <f t="shared" si="40"/>
        <v>223.20398236788856</v>
      </c>
      <c r="T96" s="67">
        <f t="shared" si="41"/>
        <v>3951.066410048993</v>
      </c>
      <c r="U96" s="12">
        <f t="shared" si="44"/>
        <v>87</v>
      </c>
      <c r="V96">
        <v>1</v>
      </c>
      <c r="W96" s="30">
        <f t="shared" si="42"/>
        <v>7.5851512641545602</v>
      </c>
      <c r="X96">
        <v>11</v>
      </c>
    </row>
    <row r="97" spans="1:24" ht="12.9" customHeight="1" thickBot="1" x14ac:dyDescent="0.3">
      <c r="A97" s="18" t="s">
        <v>86</v>
      </c>
      <c r="B97" s="19">
        <f t="shared" si="43"/>
        <v>88</v>
      </c>
      <c r="C97" s="74">
        <v>49</v>
      </c>
      <c r="D97" s="54">
        <f t="shared" si="15"/>
        <v>49</v>
      </c>
      <c r="E97" s="20">
        <f t="shared" si="30"/>
        <v>1.9291338582677167</v>
      </c>
      <c r="F97" s="47">
        <v>31</v>
      </c>
      <c r="G97" s="21">
        <v>0</v>
      </c>
      <c r="H97" s="20">
        <f t="shared" si="31"/>
        <v>13</v>
      </c>
      <c r="I97" s="21">
        <v>3</v>
      </c>
      <c r="J97" s="21">
        <v>0</v>
      </c>
      <c r="K97" s="21">
        <f t="shared" si="32"/>
        <v>144.39255843542333</v>
      </c>
      <c r="L97" s="21">
        <f t="shared" si="33"/>
        <v>433.17767530626998</v>
      </c>
      <c r="M97" s="22">
        <f t="shared" si="34"/>
        <v>0.59435285647953462</v>
      </c>
      <c r="N97" s="23">
        <f t="shared" si="35"/>
        <v>21.336469847809479</v>
      </c>
      <c r="O97" s="23">
        <f t="shared" si="36"/>
        <v>0</v>
      </c>
      <c r="P97" s="23">
        <f t="shared" si="37"/>
        <v>0</v>
      </c>
      <c r="Q97" s="24">
        <f t="shared" si="38"/>
        <v>21.336469847809479</v>
      </c>
      <c r="R97" s="24">
        <f t="shared" si="39"/>
        <v>341.38351756495166</v>
      </c>
      <c r="S97" s="14">
        <f t="shared" si="40"/>
        <v>222.83351365013928</v>
      </c>
      <c r="T97" s="71">
        <f t="shared" si="41"/>
        <v>4186.0090448095789</v>
      </c>
      <c r="U97" s="19">
        <f t="shared" si="44"/>
        <v>88</v>
      </c>
      <c r="V97">
        <v>1</v>
      </c>
      <c r="W97" s="30">
        <f t="shared" si="42"/>
        <v>7.5599928490026533</v>
      </c>
      <c r="X97">
        <v>11</v>
      </c>
    </row>
    <row r="98" spans="1:24" x14ac:dyDescent="0.25">
      <c r="A98" s="5" t="s">
        <v>115</v>
      </c>
      <c r="B98" s="6"/>
      <c r="C98" s="60"/>
      <c r="D98" s="60"/>
      <c r="E98" s="6"/>
      <c r="F98" s="7">
        <f>AVERAGE(K10:K97)</f>
        <v>168.94249806614565</v>
      </c>
      <c r="H98" s="5" t="s">
        <v>116</v>
      </c>
      <c r="I98" s="6"/>
      <c r="J98" s="6"/>
      <c r="K98" s="6"/>
      <c r="L98" s="25">
        <f>SUM(L10:L29)</f>
        <v>6507.7588078026565</v>
      </c>
      <c r="Q98" s="5" t="s">
        <v>117</v>
      </c>
      <c r="R98" s="6"/>
      <c r="S98" s="27"/>
      <c r="T98" s="7">
        <f>SUM(L10:L97)</f>
        <v>37208.2169945231</v>
      </c>
      <c r="U98" s="52"/>
    </row>
  </sheetData>
  <phoneticPr fontId="9" type="noConversion"/>
  <pageMargins left="0.74803149606299213" right="0.74803149606299213" top="0.98425196850393704" bottom="0.6" header="0.51181102362204722" footer="0.51181102362204722"/>
  <pageSetup scale="34" fitToHeight="2" orientation="portrait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21</vt:i4>
      </vt:variant>
    </vt:vector>
  </HeadingPairs>
  <TitlesOfParts>
    <vt:vector size="22" baseType="lpstr">
      <vt:lpstr>Original String Scale</vt:lpstr>
      <vt:lpstr>'Original String Scale'!_L1</vt:lpstr>
      <vt:lpstr>'Original String Scale'!_L2</vt:lpstr>
      <vt:lpstr>'Original String Scale'!Db</vt:lpstr>
      <vt:lpstr>'Original String Scale'!Dc</vt:lpstr>
      <vt:lpstr>'Original String Scale'!Dw</vt:lpstr>
      <vt:lpstr>'Original String Scale'!fork</vt:lpstr>
      <vt:lpstr>'Original String Scale'!Freq</vt:lpstr>
      <vt:lpstr>'Original String Scale'!Ic</vt:lpstr>
      <vt:lpstr>'Original String Scale'!Icore</vt:lpstr>
      <vt:lpstr>'Original String Scale'!Iend</vt:lpstr>
      <vt:lpstr>'Original String Scale'!Istep</vt:lpstr>
      <vt:lpstr>'Original String Scale'!Lin</vt:lpstr>
      <vt:lpstr>'Original String Scale'!Lmm</vt:lpstr>
      <vt:lpstr>'Original String Scale'!Ns</vt:lpstr>
      <vt:lpstr>'Original String Scale'!Ra</vt:lpstr>
      <vt:lpstr>'Original String Scale'!T</vt:lpstr>
      <vt:lpstr>'Original String Scale'!Tu</vt:lpstr>
      <vt:lpstr>'Original String Scale'!Ul</vt:lpstr>
      <vt:lpstr>'Original String Scale'!Un</vt:lpstr>
      <vt:lpstr>'Original String Scale'!WDia</vt:lpstr>
      <vt:lpstr>'Original String Scale'!WM</vt:lpstr>
    </vt:vector>
  </TitlesOfParts>
  <Company>Nossaman Piano Service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String Scaling</dc:title>
  <dc:creator>Ron Nossaman</dc:creator>
  <cp:lastModifiedBy>David Love</cp:lastModifiedBy>
  <cp:lastPrinted>2013-12-18T18:28:42Z</cp:lastPrinted>
  <dcterms:created xsi:type="dcterms:W3CDTF">2001-10-24T01:33:45Z</dcterms:created>
  <dcterms:modified xsi:type="dcterms:W3CDTF">2021-05-06T16:46:59Z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-2125569627</vt:i4>
  </property>
  <property fmtid="{D5CDD505-2E9C-101B-9397-08002B2CF9AE}" pid="3" name="_EmailSubject">
    <vt:lpwstr>Knabe Victorian Redesign3.xls</vt:lpwstr>
  </property>
  <property fmtid="{D5CDD505-2E9C-101B-9397-08002B2CF9AE}" pid="4" name="_AuthorEmail">
    <vt:lpwstr>davidlovepianos@comcast.net</vt:lpwstr>
  </property>
  <property fmtid="{D5CDD505-2E9C-101B-9397-08002B2CF9AE}" pid="5" name="_AuthorEmailDisplayName">
    <vt:lpwstr>David Love</vt:lpwstr>
  </property>
  <property fmtid="{D5CDD505-2E9C-101B-9397-08002B2CF9AE}" pid="6" name="_ReviewingToolsShownOnce">
    <vt:lpwstr/>
  </property>
</Properties>
</file>