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son\Documents\Tuning\"/>
    </mc:Choice>
  </mc:AlternateContent>
  <bookViews>
    <workbookView xWindow="-20" yWindow="60" windowWidth="15150" windowHeight="1170"/>
  </bookViews>
  <sheets>
    <sheet name="ChartData" sheetId="3" r:id="rId1"/>
    <sheet name="WellChart" sheetId="7" r:id="rId2"/>
    <sheet name="MeanChart" sheetId="9" r:id="rId3"/>
    <sheet name="Panoply" sheetId="1" r:id="rId4"/>
    <sheet name="Constants" sheetId="2" state="hidden" r:id="rId5"/>
  </sheets>
  <externalReferences>
    <externalReference r:id="rId6"/>
  </externalReferences>
  <definedNames>
    <definedName name="aaa">ChartData!$C$21</definedName>
    <definedName name="aflat">ChartData!$C$20</definedName>
    <definedName name="alis">ChartData!$C$20</definedName>
    <definedName name="asharp">ChartData!$C$22</definedName>
    <definedName name="bee">ChartData!$C$23</definedName>
    <definedName name="belis">ChartData!$C$22</definedName>
    <definedName name="bflat">ChartData!$C$22</definedName>
    <definedName name="cee">ChartData!$C$12</definedName>
    <definedName name="cent">Constants!$F$21</definedName>
    <definedName name="cfund">Panoply!$E$4:$E$91</definedName>
    <definedName name="commentary">ChartData!$C$24</definedName>
    <definedName name="converter">Constants!#REF!</definedName>
    <definedName name="csharp">ChartData!$C$13</definedName>
    <definedName name="dee">ChartData!$C$14</definedName>
    <definedName name="delis">ChartData!$C$13</definedName>
    <definedName name="delta">[1]Sheet2!$D$2</definedName>
    <definedName name="dflat">ChartData!$C$13</definedName>
    <definedName name="divisor">ChartData!$H$32</definedName>
    <definedName name="dsharp">ChartData!$C$15</definedName>
    <definedName name="eee">ChartData!$C$16</definedName>
    <definedName name="eff">ChartData!$C$17</definedName>
    <definedName name="eflat">ChartData!$C$15</definedName>
    <definedName name="elis">ChartData!$C$15</definedName>
    <definedName name="equalized" localSheetId="2">MeanChart!$H$42</definedName>
    <definedName name="equalized">WellChart!$H$42</definedName>
    <definedName name="equalizedM">MeanChart!$H$42</definedName>
    <definedName name="fifthbps" localSheetId="2">MeanChart!$D$18:$AB$18</definedName>
    <definedName name="fifthbps">WellChart!$D$18:$AB$18</definedName>
    <definedName name="fsharp">ChartData!$C$18</definedName>
    <definedName name="FudgeFactor">Constants!$H$4</definedName>
    <definedName name="fundamental">Panoply!$C$4:$C$91</definedName>
    <definedName name="gee">ChartData!$C$19</definedName>
    <definedName name="gelis">ChartData!$C$18</definedName>
    <definedName name="gflat">ChartData!$C$18</definedName>
    <definedName name="gsharp">ChartData!$C$20</definedName>
    <definedName name="justM3">Panoply!$F$4:$F$91</definedName>
    <definedName name="m3bps" localSheetId="2">MeanChart!$D$17:$AB$17</definedName>
    <definedName name="m3bps">WellChart!$D$17:$AB$17</definedName>
    <definedName name="M3c">Panoply!$G$4:$G$91</definedName>
    <definedName name="major3" localSheetId="2">MeanChart!$D$16:$AC$16</definedName>
    <definedName name="major3">WellChart!$D$16:$AC$16</definedName>
    <definedName name="minor3" localSheetId="2">MeanChart!$D$17:$AC$17</definedName>
    <definedName name="minor3">WellChart!$D$17:$AC$17</definedName>
    <definedName name="MM3bps" localSheetId="2">MeanChart!$D$16:$AB$16</definedName>
    <definedName name="MM3bps">WellChart!$D$16:$AB$16</definedName>
    <definedName name="octave">Constants!$F$19</definedName>
    <definedName name="offset">Panoply!$D$4:$D$91</definedName>
    <definedName name="offsetsTitle">ChartData!$C$11</definedName>
    <definedName name="_xlnm.Print_Area" localSheetId="2">MeanChart!$A$1:$AC$21</definedName>
    <definedName name="_xlnm.Print_Area" localSheetId="1">WellChart!$A$1:$AC$21</definedName>
    <definedName name="quoteMajor">ChartData!$C$25</definedName>
    <definedName name="quoteMinor">ChartData!$C$26</definedName>
    <definedName name="semitone">Constants!$F$7</definedName>
    <definedName name="source">ChartData!$C$8</definedName>
    <definedName name="synchrony1" localSheetId="2">MeanChart!$D$38</definedName>
    <definedName name="synchrony1">WellChart!$D$38</definedName>
    <definedName name="totaloffset">ChartData!$C$12:$C$23</definedName>
  </definedNames>
  <calcPr calcId="152511"/>
</workbook>
</file>

<file path=xl/calcChain.xml><?xml version="1.0" encoding="utf-8"?>
<calcChain xmlns="http://schemas.openxmlformats.org/spreadsheetml/2006/main">
  <c r="D7" i="1" l="1"/>
  <c r="D4" i="1" l="1"/>
  <c r="D5" i="1"/>
  <c r="D6" i="1"/>
  <c r="D8" i="1"/>
  <c r="D9" i="1"/>
  <c r="D10" i="1"/>
  <c r="D11" i="1"/>
  <c r="D12" i="1"/>
  <c r="D13" i="1"/>
  <c r="D14" i="1"/>
  <c r="D15" i="1"/>
  <c r="F7" i="2" l="1"/>
  <c r="D8" i="2" l="1"/>
  <c r="D9" i="2" s="1"/>
  <c r="D10" i="2" s="1"/>
  <c r="D11" i="2" s="1"/>
  <c r="D12" i="2" s="1"/>
  <c r="D13" i="2" s="1"/>
  <c r="D14" i="2" s="1"/>
  <c r="C44" i="1"/>
  <c r="C42" i="1"/>
  <c r="C41" i="1" l="1"/>
  <c r="C45" i="1"/>
  <c r="D18" i="2"/>
  <c r="D19" i="2" s="1"/>
  <c r="D20" i="2" s="1"/>
  <c r="D21" i="2" s="1"/>
  <c r="D22" i="2" s="1"/>
  <c r="AG11" i="9"/>
  <c r="AB10" i="9"/>
  <c r="BF10" i="9" s="1"/>
  <c r="Z10" i="9"/>
  <c r="BD10" i="9" s="1"/>
  <c r="X10" i="9"/>
  <c r="BB10" i="9" s="1"/>
  <c r="V10" i="9"/>
  <c r="AZ10" i="9" s="1"/>
  <c r="T10" i="9"/>
  <c r="AX10" i="9" s="1"/>
  <c r="R10" i="9"/>
  <c r="AV10" i="9" s="1"/>
  <c r="P10" i="9"/>
  <c r="AT10" i="9" s="1"/>
  <c r="N10" i="9"/>
  <c r="AR10" i="9" s="1"/>
  <c r="L10" i="9"/>
  <c r="AP10" i="9" s="1"/>
  <c r="J10" i="9"/>
  <c r="AN10" i="9" s="1"/>
  <c r="H10" i="9"/>
  <c r="AL10" i="9" s="1"/>
  <c r="F10" i="9"/>
  <c r="AJ10" i="9" s="1"/>
  <c r="D10" i="9"/>
  <c r="AH10" i="9" s="1"/>
  <c r="C46" i="1" l="1"/>
  <c r="C40" i="1"/>
  <c r="AF18" i="9"/>
  <c r="AF17" i="9"/>
  <c r="AF16" i="9"/>
  <c r="AF15" i="9"/>
  <c r="AF14" i="9"/>
  <c r="AF13" i="9"/>
  <c r="AG11" i="7"/>
  <c r="Z11" i="7"/>
  <c r="C39" i="1" l="1"/>
  <c r="C47" i="1"/>
  <c r="BD11" i="7"/>
  <c r="AB11" i="9"/>
  <c r="BF11" i="9" s="1"/>
  <c r="X11" i="9"/>
  <c r="BB11" i="9" s="1"/>
  <c r="T11" i="9"/>
  <c r="AX11" i="9" s="1"/>
  <c r="P11" i="9"/>
  <c r="AT11" i="9" s="1"/>
  <c r="L11" i="9"/>
  <c r="AP11" i="9" s="1"/>
  <c r="H11" i="9"/>
  <c r="AL11" i="9" s="1"/>
  <c r="D11" i="9"/>
  <c r="AH11" i="9" s="1"/>
  <c r="Z11" i="9"/>
  <c r="BD11" i="9" s="1"/>
  <c r="V11" i="9"/>
  <c r="AZ11" i="9" s="1"/>
  <c r="R11" i="9"/>
  <c r="AV11" i="9" s="1"/>
  <c r="N11" i="9"/>
  <c r="AR11" i="9" s="1"/>
  <c r="J11" i="9"/>
  <c r="AN11" i="9" s="1"/>
  <c r="F11" i="9"/>
  <c r="AJ11" i="9" s="1"/>
  <c r="D11" i="7"/>
  <c r="H11" i="7"/>
  <c r="L11" i="7"/>
  <c r="P11" i="7"/>
  <c r="T11" i="7"/>
  <c r="X11" i="7"/>
  <c r="AB11" i="7"/>
  <c r="BF11" i="7" s="1"/>
  <c r="F11" i="7"/>
  <c r="J11" i="7"/>
  <c r="N11" i="7"/>
  <c r="R11" i="7"/>
  <c r="V11" i="7"/>
  <c r="AB10" i="7"/>
  <c r="BF10" i="7" s="1"/>
  <c r="Z10" i="7"/>
  <c r="BD10" i="7" s="1"/>
  <c r="X10" i="7"/>
  <c r="BB10" i="7" s="1"/>
  <c r="V10" i="7"/>
  <c r="AZ10" i="7" s="1"/>
  <c r="T10" i="7"/>
  <c r="AX10" i="7" s="1"/>
  <c r="R10" i="7"/>
  <c r="AV10" i="7" s="1"/>
  <c r="P10" i="7"/>
  <c r="AT10" i="7" s="1"/>
  <c r="N10" i="7"/>
  <c r="AR10" i="7" s="1"/>
  <c r="L10" i="7"/>
  <c r="AP10" i="7" s="1"/>
  <c r="J10" i="7"/>
  <c r="AN10" i="7" s="1"/>
  <c r="H10" i="7"/>
  <c r="AL10" i="7" s="1"/>
  <c r="F10" i="7"/>
  <c r="AJ10" i="7" s="1"/>
  <c r="D10" i="7"/>
  <c r="AH10" i="7" s="1"/>
  <c r="AF18" i="7"/>
  <c r="AF17" i="7"/>
  <c r="AF16" i="7"/>
  <c r="AF15" i="7"/>
  <c r="AF14" i="7"/>
  <c r="AF13" i="7"/>
  <c r="C48" i="1" l="1"/>
  <c r="C38" i="1"/>
  <c r="AZ11" i="7"/>
  <c r="AR11" i="7"/>
  <c r="AJ11" i="7"/>
  <c r="AX11" i="7"/>
  <c r="AP11" i="7"/>
  <c r="AH11" i="7"/>
  <c r="AV11" i="7"/>
  <c r="AN11" i="7"/>
  <c r="BB11" i="7"/>
  <c r="AT11" i="7"/>
  <c r="AL11" i="7"/>
  <c r="C37" i="1" l="1"/>
  <c r="C49" i="1"/>
  <c r="C50" i="1" l="1"/>
  <c r="C36" i="1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C35" i="1" l="1"/>
  <c r="C51" i="1"/>
  <c r="E50" i="3"/>
  <c r="D50" i="3"/>
  <c r="D66" i="3" s="1"/>
  <c r="E49" i="3"/>
  <c r="D49" i="3"/>
  <c r="D65" i="3" s="1"/>
  <c r="E48" i="3"/>
  <c r="D48" i="3"/>
  <c r="D64" i="3" s="1"/>
  <c r="E47" i="3"/>
  <c r="D47" i="3"/>
  <c r="D63" i="3" s="1"/>
  <c r="E46" i="3"/>
  <c r="D46" i="3"/>
  <c r="D62" i="3" s="1"/>
  <c r="E45" i="3"/>
  <c r="D45" i="3"/>
  <c r="D61" i="3" s="1"/>
  <c r="E44" i="3"/>
  <c r="D44" i="3"/>
  <c r="D60" i="3" s="1"/>
  <c r="E43" i="3"/>
  <c r="D43" i="3"/>
  <c r="D59" i="3" s="1"/>
  <c r="E42" i="3"/>
  <c r="D42" i="3"/>
  <c r="D58" i="3" s="1"/>
  <c r="E41" i="3"/>
  <c r="D41" i="3"/>
  <c r="D57" i="3" s="1"/>
  <c r="E40" i="3"/>
  <c r="D40" i="3"/>
  <c r="D56" i="3" s="1"/>
  <c r="E39" i="3"/>
  <c r="D39" i="3"/>
  <c r="D55" i="3" s="1"/>
  <c r="E38" i="3"/>
  <c r="D38" i="3"/>
  <c r="D54" i="3" s="1"/>
  <c r="C52" i="1" l="1"/>
  <c r="C34" i="1"/>
  <c r="C33" i="1" l="1"/>
  <c r="C53" i="1"/>
  <c r="D27" i="1"/>
  <c r="C54" i="1" l="1"/>
  <c r="C32" i="1"/>
  <c r="D26" i="1"/>
  <c r="D39" i="1"/>
  <c r="C31" i="1" l="1"/>
  <c r="C55" i="1"/>
  <c r="D16" i="1"/>
  <c r="D18" i="1"/>
  <c r="D20" i="1"/>
  <c r="D22" i="1"/>
  <c r="D24" i="1"/>
  <c r="D25" i="1"/>
  <c r="D51" i="1"/>
  <c r="D38" i="1"/>
  <c r="C56" i="1" l="1"/>
  <c r="C30" i="1"/>
  <c r="D63" i="1"/>
  <c r="D50" i="1"/>
  <c r="D37" i="1"/>
  <c r="D36" i="1"/>
  <c r="D34" i="1"/>
  <c r="D32" i="1"/>
  <c r="D30" i="1"/>
  <c r="D28" i="1"/>
  <c r="C29" i="1" l="1"/>
  <c r="C57" i="1"/>
  <c r="D75" i="1"/>
  <c r="D87" i="1" s="1"/>
  <c r="D40" i="1"/>
  <c r="D42" i="1"/>
  <c r="D44" i="1"/>
  <c r="D46" i="1"/>
  <c r="D48" i="1"/>
  <c r="D49" i="1"/>
  <c r="D62" i="1"/>
  <c r="C58" i="1" l="1"/>
  <c r="C28" i="1"/>
  <c r="D74" i="1"/>
  <c r="D61" i="1"/>
  <c r="D60" i="1"/>
  <c r="D58" i="1"/>
  <c r="D56" i="1"/>
  <c r="D54" i="1"/>
  <c r="D52" i="1"/>
  <c r="C27" i="1" l="1"/>
  <c r="C59" i="1"/>
  <c r="D64" i="1"/>
  <c r="D66" i="1"/>
  <c r="D68" i="1"/>
  <c r="D70" i="1"/>
  <c r="D72" i="1"/>
  <c r="D73" i="1"/>
  <c r="D86" i="1"/>
  <c r="C60" i="1" l="1"/>
  <c r="C26" i="1"/>
  <c r="D76" i="1"/>
  <c r="D85" i="1"/>
  <c r="D84" i="1"/>
  <c r="D82" i="1"/>
  <c r="D80" i="1"/>
  <c r="D78" i="1"/>
  <c r="C25" i="1" l="1"/>
  <c r="C61" i="1"/>
  <c r="D90" i="1"/>
  <c r="D88" i="1"/>
  <c r="D17" i="1"/>
  <c r="D29" i="1" s="1"/>
  <c r="D41" i="1" s="1"/>
  <c r="D19" i="1"/>
  <c r="D21" i="1"/>
  <c r="D33" i="1" s="1"/>
  <c r="D45" i="1" s="1"/>
  <c r="D23" i="1"/>
  <c r="D35" i="1" s="1"/>
  <c r="D47" i="1" s="1"/>
  <c r="C62" i="1" l="1"/>
  <c r="C24" i="1"/>
  <c r="F19" i="2"/>
  <c r="F21" i="2" s="1"/>
  <c r="E25" i="1" s="1"/>
  <c r="D53" i="1"/>
  <c r="D59" i="1"/>
  <c r="D57" i="1"/>
  <c r="D31" i="1"/>
  <c r="E24" i="1" l="1"/>
  <c r="C23" i="1"/>
  <c r="C63" i="1"/>
  <c r="E62" i="1"/>
  <c r="E42" i="1"/>
  <c r="F25" i="2"/>
  <c r="E44" i="1"/>
  <c r="E45" i="1"/>
  <c r="E41" i="1"/>
  <c r="E40" i="1"/>
  <c r="E46" i="1"/>
  <c r="E47" i="1"/>
  <c r="E39" i="1"/>
  <c r="E38" i="1"/>
  <c r="E48" i="1"/>
  <c r="E37" i="1"/>
  <c r="E49" i="1"/>
  <c r="E36" i="1"/>
  <c r="E50" i="1"/>
  <c r="E51" i="1"/>
  <c r="E35" i="1"/>
  <c r="E34" i="1"/>
  <c r="E52" i="1"/>
  <c r="E53" i="1"/>
  <c r="E33" i="1"/>
  <c r="E32" i="1"/>
  <c r="E54" i="1"/>
  <c r="E31" i="1"/>
  <c r="E30" i="1"/>
  <c r="E56" i="1"/>
  <c r="E57" i="1"/>
  <c r="E29" i="1"/>
  <c r="E28" i="1"/>
  <c r="E58" i="1"/>
  <c r="E59" i="1"/>
  <c r="E27" i="1"/>
  <c r="E26" i="1"/>
  <c r="E60" i="1"/>
  <c r="E61" i="1"/>
  <c r="D65" i="1"/>
  <c r="D77" i="1" s="1"/>
  <c r="D71" i="1"/>
  <c r="D83" i="1" s="1"/>
  <c r="D43" i="1"/>
  <c r="E43" i="1" s="1"/>
  <c r="D69" i="1"/>
  <c r="E63" i="1" l="1"/>
  <c r="C64" i="1"/>
  <c r="C22" i="1"/>
  <c r="E23" i="1"/>
  <c r="N56" i="1"/>
  <c r="R53" i="1"/>
  <c r="S53" i="1" s="1"/>
  <c r="R54" i="1"/>
  <c r="S54" i="1" s="1"/>
  <c r="R56" i="1"/>
  <c r="S56" i="1" s="1"/>
  <c r="R57" i="1"/>
  <c r="S57" i="1" s="1"/>
  <c r="R45" i="1"/>
  <c r="S45" i="1" s="1"/>
  <c r="T54" i="1"/>
  <c r="R46" i="1"/>
  <c r="S46" i="1" s="1"/>
  <c r="R47" i="1"/>
  <c r="S47" i="1" s="1"/>
  <c r="T56" i="1"/>
  <c r="R48" i="1"/>
  <c r="S48" i="1" s="1"/>
  <c r="T57" i="1"/>
  <c r="R49" i="1"/>
  <c r="S49" i="1" s="1"/>
  <c r="R50" i="1"/>
  <c r="S50" i="1" s="1"/>
  <c r="R51" i="1"/>
  <c r="S51" i="1" s="1"/>
  <c r="R52" i="1"/>
  <c r="S52" i="1" s="1"/>
  <c r="O53" i="1"/>
  <c r="P53" i="1" s="1"/>
  <c r="O49" i="1"/>
  <c r="P49" i="1" s="1"/>
  <c r="O50" i="1"/>
  <c r="P50" i="1" s="1"/>
  <c r="I56" i="1"/>
  <c r="J56" i="1" s="1"/>
  <c r="O54" i="1"/>
  <c r="P54" i="1" s="1"/>
  <c r="I47" i="1"/>
  <c r="J47" i="1" s="1"/>
  <c r="O45" i="1"/>
  <c r="P45" i="1" s="1"/>
  <c r="H51" i="1"/>
  <c r="F47" i="1"/>
  <c r="G47" i="1" s="1"/>
  <c r="O47" i="1"/>
  <c r="P47" i="1" s="1"/>
  <c r="L47" i="1"/>
  <c r="M47" i="1" s="1"/>
  <c r="O51" i="1"/>
  <c r="P51" i="1" s="1"/>
  <c r="Q51" i="1"/>
  <c r="L51" i="1"/>
  <c r="M51" i="1" s="1"/>
  <c r="K50" i="1"/>
  <c r="F50" i="1"/>
  <c r="G50" i="1" s="1"/>
  <c r="I50" i="1"/>
  <c r="J50" i="1" s="1"/>
  <c r="L50" i="1"/>
  <c r="M50" i="1" s="1"/>
  <c r="F51" i="1"/>
  <c r="G51" i="1" s="1"/>
  <c r="I51" i="1"/>
  <c r="J51" i="1" s="1"/>
  <c r="F52" i="1"/>
  <c r="G52" i="1" s="1"/>
  <c r="L49" i="1"/>
  <c r="M49" i="1" s="1"/>
  <c r="O48" i="1"/>
  <c r="P48" i="1" s="1"/>
  <c r="I54" i="1"/>
  <c r="J54" i="1" s="1"/>
  <c r="K52" i="1"/>
  <c r="I52" i="1"/>
  <c r="J52" i="1" s="1"/>
  <c r="L48" i="1"/>
  <c r="M48" i="1" s="1"/>
  <c r="F48" i="1"/>
  <c r="G48" i="1" s="1"/>
  <c r="Q52" i="1"/>
  <c r="O52" i="1"/>
  <c r="P52" i="1" s="1"/>
  <c r="F45" i="1"/>
  <c r="G45" i="1" s="1"/>
  <c r="N54" i="1"/>
  <c r="Q50" i="1"/>
  <c r="L54" i="1"/>
  <c r="M54" i="1" s="1"/>
  <c r="K54" i="1"/>
  <c r="H54" i="1"/>
  <c r="I45" i="1"/>
  <c r="J45" i="1" s="1"/>
  <c r="K48" i="1"/>
  <c r="H49" i="1"/>
  <c r="F54" i="1"/>
  <c r="G54" i="1" s="1"/>
  <c r="L45" i="1"/>
  <c r="M45" i="1" s="1"/>
  <c r="Q54" i="1"/>
  <c r="F49" i="1"/>
  <c r="G49" i="1" s="1"/>
  <c r="L52" i="1"/>
  <c r="M52" i="1" s="1"/>
  <c r="H52" i="1"/>
  <c r="N52" i="1"/>
  <c r="I49" i="1"/>
  <c r="J49" i="1" s="1"/>
  <c r="I48" i="1"/>
  <c r="J48" i="1" s="1"/>
  <c r="K51" i="1"/>
  <c r="L56" i="1"/>
  <c r="M56" i="1" s="1"/>
  <c r="F56" i="1"/>
  <c r="G56" i="1" s="1"/>
  <c r="H56" i="1"/>
  <c r="Q56" i="1"/>
  <c r="O56" i="1"/>
  <c r="P56" i="1" s="1"/>
  <c r="I53" i="1"/>
  <c r="J53" i="1" s="1"/>
  <c r="L53" i="1"/>
  <c r="M53" i="1" s="1"/>
  <c r="K53" i="1"/>
  <c r="F53" i="1"/>
  <c r="G53" i="1" s="1"/>
  <c r="K56" i="1"/>
  <c r="H53" i="1"/>
  <c r="Q53" i="1"/>
  <c r="L46" i="1"/>
  <c r="M46" i="1" s="1"/>
  <c r="O46" i="1"/>
  <c r="P46" i="1" s="1"/>
  <c r="N53" i="1"/>
  <c r="H50" i="1"/>
  <c r="F46" i="1"/>
  <c r="G46" i="1" s="1"/>
  <c r="I46" i="1"/>
  <c r="J46" i="1" s="1"/>
  <c r="K49" i="1"/>
  <c r="T58" i="1"/>
  <c r="O57" i="1"/>
  <c r="P57" i="1" s="1"/>
  <c r="Q57" i="1"/>
  <c r="D89" i="1"/>
  <c r="D81" i="1"/>
  <c r="R43" i="1"/>
  <c r="S43" i="1" s="1"/>
  <c r="D55" i="1"/>
  <c r="E55" i="1" s="1"/>
  <c r="F57" i="1"/>
  <c r="G57" i="1" s="1"/>
  <c r="K57" i="1"/>
  <c r="L57" i="1"/>
  <c r="M57" i="1" s="1"/>
  <c r="I57" i="1"/>
  <c r="J57" i="1" s="1"/>
  <c r="H57" i="1"/>
  <c r="N57" i="1"/>
  <c r="E22" i="1" l="1"/>
  <c r="C21" i="1"/>
  <c r="E64" i="1"/>
  <c r="C65" i="1"/>
  <c r="T52" i="1"/>
  <c r="T53" i="1"/>
  <c r="R44" i="1"/>
  <c r="S44" i="1" s="1"/>
  <c r="R58" i="1"/>
  <c r="S58" i="1" s="1"/>
  <c r="R59" i="1"/>
  <c r="S59" i="1" s="1"/>
  <c r="T59" i="1"/>
  <c r="G50" i="3"/>
  <c r="G57" i="3" s="1"/>
  <c r="I43" i="3"/>
  <c r="I63" i="3" s="1"/>
  <c r="G43" i="3"/>
  <c r="G62" i="3" s="1"/>
  <c r="G46" i="3"/>
  <c r="G65" i="3" s="1"/>
  <c r="I50" i="3"/>
  <c r="I58" i="3" s="1"/>
  <c r="I48" i="3"/>
  <c r="I56" i="3" s="1"/>
  <c r="H48" i="3"/>
  <c r="I39" i="3"/>
  <c r="F76" i="3" s="1"/>
  <c r="F17" i="9" s="1"/>
  <c r="H43" i="3"/>
  <c r="G48" i="3"/>
  <c r="G55" i="3" s="1"/>
  <c r="I41" i="3"/>
  <c r="I61" i="3" s="1"/>
  <c r="H50" i="3"/>
  <c r="F50" i="3"/>
  <c r="I46" i="3"/>
  <c r="I66" i="3" s="1"/>
  <c r="K50" i="3"/>
  <c r="K66" i="3" s="1"/>
  <c r="I44" i="3"/>
  <c r="I64" i="3" s="1"/>
  <c r="K48" i="3"/>
  <c r="X77" i="3" s="1"/>
  <c r="X18" i="9" s="1"/>
  <c r="BB18" i="9" s="1"/>
  <c r="J46" i="3"/>
  <c r="K46" i="3"/>
  <c r="T77" i="3" s="1"/>
  <c r="T18" i="9" s="1"/>
  <c r="AX18" i="9" s="1"/>
  <c r="I42" i="3"/>
  <c r="K43" i="3"/>
  <c r="K59" i="3" s="1"/>
  <c r="F43" i="3"/>
  <c r="O58" i="1"/>
  <c r="P58" i="1" s="1"/>
  <c r="H58" i="1"/>
  <c r="F58" i="1"/>
  <c r="G58" i="1" s="1"/>
  <c r="Q58" i="1"/>
  <c r="N58" i="1"/>
  <c r="L58" i="1"/>
  <c r="M58" i="1" s="1"/>
  <c r="I58" i="1"/>
  <c r="J58" i="1" s="1"/>
  <c r="L44" i="1"/>
  <c r="M44" i="1" s="1"/>
  <c r="O44" i="1"/>
  <c r="P44" i="1" s="1"/>
  <c r="F44" i="1"/>
  <c r="G44" i="1" s="1"/>
  <c r="N51" i="1"/>
  <c r="Q49" i="1"/>
  <c r="K47" i="1"/>
  <c r="I44" i="1"/>
  <c r="J44" i="1" s="1"/>
  <c r="H48" i="1"/>
  <c r="Q48" i="1"/>
  <c r="O43" i="1"/>
  <c r="P43" i="1" s="1"/>
  <c r="G39" i="3"/>
  <c r="G58" i="3" s="1"/>
  <c r="J50" i="3"/>
  <c r="J48" i="3"/>
  <c r="H46" i="3"/>
  <c r="K39" i="3"/>
  <c r="I47" i="3"/>
  <c r="L43" i="1"/>
  <c r="M43" i="1" s="1"/>
  <c r="F43" i="1"/>
  <c r="G43" i="1" s="1"/>
  <c r="I43" i="1"/>
  <c r="J43" i="1" s="1"/>
  <c r="H47" i="1"/>
  <c r="N50" i="1"/>
  <c r="K46" i="1"/>
  <c r="D67" i="1"/>
  <c r="C66" i="1" l="1"/>
  <c r="E65" i="1"/>
  <c r="C20" i="1"/>
  <c r="E21" i="1"/>
  <c r="R55" i="1"/>
  <c r="S55" i="1" s="1"/>
  <c r="K58" i="1"/>
  <c r="T55" i="1"/>
  <c r="H42" i="3"/>
  <c r="H62" i="3" s="1"/>
  <c r="H59" i="1"/>
  <c r="F46" i="3"/>
  <c r="T72" i="3" s="1"/>
  <c r="T13" i="9" s="1"/>
  <c r="BD13" i="9" s="1"/>
  <c r="J43" i="3"/>
  <c r="N74" i="3" s="1"/>
  <c r="N15" i="9" s="1"/>
  <c r="AR15" i="9" s="1"/>
  <c r="AB75" i="3"/>
  <c r="AB16" i="9" s="1"/>
  <c r="AN16" i="9" s="1"/>
  <c r="T75" i="3"/>
  <c r="T16" i="9" s="1"/>
  <c r="BD16" i="9" s="1"/>
  <c r="P76" i="3"/>
  <c r="P17" i="9" s="1"/>
  <c r="BB17" i="9" s="1"/>
  <c r="H39" i="3"/>
  <c r="F73" i="3" s="1"/>
  <c r="F14" i="9" s="1"/>
  <c r="AR14" i="9" s="1"/>
  <c r="N75" i="3"/>
  <c r="N16" i="9" s="1"/>
  <c r="AX16" i="9" s="1"/>
  <c r="AB76" i="3"/>
  <c r="AB17" i="9" s="1"/>
  <c r="H41" i="3"/>
  <c r="H61" i="3" s="1"/>
  <c r="T76" i="3"/>
  <c r="T17" i="9" s="1"/>
  <c r="H44" i="3"/>
  <c r="H64" i="3" s="1"/>
  <c r="N76" i="3"/>
  <c r="N17" i="9" s="1"/>
  <c r="J76" i="3"/>
  <c r="J17" i="9" s="1"/>
  <c r="AV17" i="9" s="1"/>
  <c r="X75" i="3"/>
  <c r="X16" i="9" s="1"/>
  <c r="AJ16" i="9" s="1"/>
  <c r="X76" i="3"/>
  <c r="X17" i="9" s="1"/>
  <c r="I59" i="3"/>
  <c r="AR17" i="9"/>
  <c r="K64" i="3"/>
  <c r="K62" i="3"/>
  <c r="F48" i="3"/>
  <c r="F55" i="3" s="1"/>
  <c r="AB77" i="3"/>
  <c r="N15" i="7"/>
  <c r="AR15" i="7" s="1"/>
  <c r="X18" i="7"/>
  <c r="BB18" i="7" s="1"/>
  <c r="T18" i="7"/>
  <c r="AX18" i="7" s="1"/>
  <c r="F17" i="7"/>
  <c r="V76" i="3"/>
  <c r="V17" i="9" s="1"/>
  <c r="I55" i="3"/>
  <c r="L76" i="3"/>
  <c r="L17" i="9" s="1"/>
  <c r="I62" i="3"/>
  <c r="AB73" i="3"/>
  <c r="AB14" i="9" s="1"/>
  <c r="AP14" i="9" s="1"/>
  <c r="H58" i="3"/>
  <c r="N72" i="3"/>
  <c r="N13" i="9" s="1"/>
  <c r="AX13" i="9" s="1"/>
  <c r="F62" i="3"/>
  <c r="N73" i="3"/>
  <c r="N14" i="9" s="1"/>
  <c r="AZ14" i="9" s="1"/>
  <c r="H63" i="3"/>
  <c r="X73" i="3"/>
  <c r="X14" i="9" s="1"/>
  <c r="AL14" i="9" s="1"/>
  <c r="H56" i="3"/>
  <c r="AB72" i="3"/>
  <c r="AB13" i="9" s="1"/>
  <c r="AN13" i="9" s="1"/>
  <c r="F57" i="3"/>
  <c r="T73" i="3"/>
  <c r="T14" i="9" s="1"/>
  <c r="H66" i="3"/>
  <c r="N77" i="3"/>
  <c r="N18" i="9" s="1"/>
  <c r="AR18" i="9" s="1"/>
  <c r="K59" i="1"/>
  <c r="O59" i="1"/>
  <c r="P59" i="1" s="1"/>
  <c r="L59" i="1"/>
  <c r="M59" i="1" s="1"/>
  <c r="F59" i="1"/>
  <c r="G59" i="1" s="1"/>
  <c r="Q59" i="1"/>
  <c r="I59" i="1"/>
  <c r="J59" i="1" s="1"/>
  <c r="N59" i="1"/>
  <c r="G44" i="3"/>
  <c r="G63" i="3" s="1"/>
  <c r="Q60" i="1"/>
  <c r="K44" i="3"/>
  <c r="O55" i="1"/>
  <c r="P55" i="1" s="1"/>
  <c r="Q55" i="1"/>
  <c r="H47" i="3"/>
  <c r="K55" i="3"/>
  <c r="F77" i="3"/>
  <c r="F18" i="9" s="1"/>
  <c r="AJ18" i="9" s="1"/>
  <c r="J62" i="3"/>
  <c r="T74" i="3"/>
  <c r="T15" i="9" s="1"/>
  <c r="AX15" i="9" s="1"/>
  <c r="J64" i="3"/>
  <c r="X74" i="3"/>
  <c r="X15" i="9" s="1"/>
  <c r="BB15" i="9" s="1"/>
  <c r="J66" i="3"/>
  <c r="AB74" i="3"/>
  <c r="AB15" i="9" s="1"/>
  <c r="BF15" i="9" s="1"/>
  <c r="F39" i="3"/>
  <c r="J39" i="3"/>
  <c r="F75" i="3"/>
  <c r="F16" i="9" s="1"/>
  <c r="AP16" i="9" s="1"/>
  <c r="L55" i="1"/>
  <c r="M55" i="1" s="1"/>
  <c r="H55" i="1"/>
  <c r="K55" i="1"/>
  <c r="N55" i="1"/>
  <c r="I55" i="1"/>
  <c r="J55" i="1" s="1"/>
  <c r="F55" i="1"/>
  <c r="G55" i="1" s="1"/>
  <c r="D79" i="1"/>
  <c r="E20" i="1" l="1"/>
  <c r="C19" i="1"/>
  <c r="C67" i="1"/>
  <c r="E66" i="1"/>
  <c r="L73" i="3"/>
  <c r="L14" i="9" s="1"/>
  <c r="AX14" i="9" s="1"/>
  <c r="R42" i="1"/>
  <c r="S42" i="1" s="1"/>
  <c r="T51" i="1"/>
  <c r="R60" i="1"/>
  <c r="S60" i="1" s="1"/>
  <c r="T60" i="1"/>
  <c r="F65" i="3"/>
  <c r="J59" i="3"/>
  <c r="AB16" i="7"/>
  <c r="AN16" i="7" s="1"/>
  <c r="J73" i="3"/>
  <c r="J14" i="9" s="1"/>
  <c r="AV14" i="9" s="1"/>
  <c r="P17" i="7"/>
  <c r="H59" i="3"/>
  <c r="T16" i="7"/>
  <c r="BD16" i="7" s="1"/>
  <c r="N16" i="7"/>
  <c r="AX16" i="7" s="1"/>
  <c r="T17" i="7"/>
  <c r="AH17" i="9"/>
  <c r="AB17" i="7"/>
  <c r="AP17" i="9"/>
  <c r="P73" i="3"/>
  <c r="P14" i="9" s="1"/>
  <c r="BB14" i="9" s="1"/>
  <c r="N17" i="7"/>
  <c r="AZ17" i="9"/>
  <c r="BF17" i="9"/>
  <c r="J17" i="7"/>
  <c r="X16" i="7"/>
  <c r="AJ16" i="7" s="1"/>
  <c r="X17" i="7"/>
  <c r="AL17" i="9"/>
  <c r="BF14" i="9"/>
  <c r="AH14" i="9"/>
  <c r="AX17" i="9"/>
  <c r="AJ17" i="9"/>
  <c r="AB18" i="9"/>
  <c r="BF18" i="9" s="1"/>
  <c r="X72" i="3"/>
  <c r="AB18" i="7"/>
  <c r="BF18" i="7" s="1"/>
  <c r="AR17" i="7"/>
  <c r="N18" i="7"/>
  <c r="AR18" i="7" s="1"/>
  <c r="L17" i="7"/>
  <c r="F16" i="7"/>
  <c r="AP16" i="7" s="1"/>
  <c r="V17" i="7"/>
  <c r="X15" i="7"/>
  <c r="BB15" i="7" s="1"/>
  <c r="AB14" i="7"/>
  <c r="AP14" i="7" s="1"/>
  <c r="T15" i="7"/>
  <c r="AX15" i="7" s="1"/>
  <c r="N14" i="7"/>
  <c r="AZ14" i="7" s="1"/>
  <c r="N13" i="7"/>
  <c r="AX13" i="7" s="1"/>
  <c r="F18" i="7"/>
  <c r="AJ18" i="7" s="1"/>
  <c r="X14" i="7"/>
  <c r="AL14" i="7" s="1"/>
  <c r="F14" i="7"/>
  <c r="AR14" i="7" s="1"/>
  <c r="AB15" i="7"/>
  <c r="BF15" i="7" s="1"/>
  <c r="T13" i="7"/>
  <c r="BD13" i="7" s="1"/>
  <c r="T14" i="7"/>
  <c r="AB13" i="7"/>
  <c r="AN13" i="7" s="1"/>
  <c r="F72" i="3"/>
  <c r="F13" i="9" s="1"/>
  <c r="AP13" i="9" s="1"/>
  <c r="F58" i="3"/>
  <c r="V73" i="3"/>
  <c r="V14" i="9" s="1"/>
  <c r="AJ14" i="9" s="1"/>
  <c r="H55" i="3"/>
  <c r="P77" i="3"/>
  <c r="P18" i="9" s="1"/>
  <c r="AT18" i="9" s="1"/>
  <c r="K60" i="3"/>
  <c r="I45" i="3"/>
  <c r="F44" i="3"/>
  <c r="I60" i="1"/>
  <c r="J60" i="1" s="1"/>
  <c r="H60" i="1"/>
  <c r="O60" i="1"/>
  <c r="P60" i="1" s="1"/>
  <c r="K60" i="1"/>
  <c r="L60" i="1"/>
  <c r="M60" i="1" s="1"/>
  <c r="F60" i="1"/>
  <c r="G60" i="1" s="1"/>
  <c r="N60" i="1"/>
  <c r="P75" i="3"/>
  <c r="P16" i="9" s="1"/>
  <c r="J44" i="3"/>
  <c r="O42" i="1"/>
  <c r="P42" i="1" s="1"/>
  <c r="I42" i="1"/>
  <c r="J42" i="1" s="1"/>
  <c r="H46" i="1"/>
  <c r="N49" i="1"/>
  <c r="F42" i="1"/>
  <c r="G42" i="1" s="1"/>
  <c r="Q47" i="1"/>
  <c r="L42" i="1"/>
  <c r="M42" i="1" s="1"/>
  <c r="K45" i="1"/>
  <c r="K49" i="3"/>
  <c r="K41" i="3"/>
  <c r="J55" i="3"/>
  <c r="F74" i="3"/>
  <c r="F15" i="9" s="1"/>
  <c r="AJ15" i="9" s="1"/>
  <c r="G49" i="3"/>
  <c r="I49" i="3"/>
  <c r="I40" i="3"/>
  <c r="H40" i="3"/>
  <c r="G41" i="3"/>
  <c r="G60" i="3" s="1"/>
  <c r="D91" i="1"/>
  <c r="C68" i="1" l="1"/>
  <c r="E67" i="1"/>
  <c r="C18" i="1"/>
  <c r="E19" i="1"/>
  <c r="L14" i="7"/>
  <c r="AX14" i="7" s="1"/>
  <c r="R41" i="1"/>
  <c r="S41" i="1" s="1"/>
  <c r="T50" i="1"/>
  <c r="R61" i="1"/>
  <c r="S61" i="1" s="1"/>
  <c r="T61" i="1"/>
  <c r="F49" i="3"/>
  <c r="Z72" i="3" s="1"/>
  <c r="Z13" i="9" s="1"/>
  <c r="AL13" i="9" s="1"/>
  <c r="AL17" i="7"/>
  <c r="AZ17" i="7"/>
  <c r="AP17" i="7"/>
  <c r="AV17" i="7"/>
  <c r="BB17" i="7"/>
  <c r="J14" i="7"/>
  <c r="AV14" i="7" s="1"/>
  <c r="BF17" i="7"/>
  <c r="AH17" i="7"/>
  <c r="P14" i="7"/>
  <c r="BB14" i="7" s="1"/>
  <c r="AZ16" i="9"/>
  <c r="X13" i="9"/>
  <c r="AJ13" i="9" s="1"/>
  <c r="X13" i="7"/>
  <c r="AJ13" i="7" s="1"/>
  <c r="AJ17" i="7"/>
  <c r="AX17" i="7"/>
  <c r="P16" i="7"/>
  <c r="V14" i="7"/>
  <c r="AJ14" i="7" s="1"/>
  <c r="F13" i="7"/>
  <c r="AP13" i="7" s="1"/>
  <c r="F15" i="7"/>
  <c r="AJ15" i="7" s="1"/>
  <c r="P18" i="7"/>
  <c r="AT18" i="7" s="1"/>
  <c r="BF14" i="7"/>
  <c r="AH14" i="7"/>
  <c r="H76" i="3"/>
  <c r="H17" i="9" s="1"/>
  <c r="I60" i="3"/>
  <c r="Z76" i="3"/>
  <c r="Z17" i="9" s="1"/>
  <c r="I57" i="3"/>
  <c r="R76" i="3"/>
  <c r="R17" i="9" s="1"/>
  <c r="I65" i="3"/>
  <c r="H73" i="3"/>
  <c r="H14" i="9" s="1"/>
  <c r="AT14" i="9" s="1"/>
  <c r="H60" i="3"/>
  <c r="P72" i="3"/>
  <c r="P13" i="9" s="1"/>
  <c r="AZ13" i="9" s="1"/>
  <c r="F63" i="3"/>
  <c r="Z75" i="3"/>
  <c r="Z16" i="9" s="1"/>
  <c r="AL16" i="9" s="1"/>
  <c r="G56" i="3"/>
  <c r="K65" i="3"/>
  <c r="Z77" i="3"/>
  <c r="Z18" i="9" s="1"/>
  <c r="BD18" i="9" s="1"/>
  <c r="I38" i="3"/>
  <c r="D76" i="3" s="1"/>
  <c r="D17" i="9" s="1"/>
  <c r="G42" i="3"/>
  <c r="G61" i="3" s="1"/>
  <c r="O41" i="1"/>
  <c r="P41" i="1" s="1"/>
  <c r="K44" i="1"/>
  <c r="L41" i="1"/>
  <c r="M41" i="1" s="1"/>
  <c r="N48" i="1"/>
  <c r="Q46" i="1"/>
  <c r="F41" i="1"/>
  <c r="G41" i="1" s="1"/>
  <c r="H45" i="1"/>
  <c r="I41" i="1"/>
  <c r="J41" i="1" s="1"/>
  <c r="J49" i="3"/>
  <c r="J60" i="3"/>
  <c r="P74" i="3"/>
  <c r="P15" i="9" s="1"/>
  <c r="AT15" i="9" s="1"/>
  <c r="K42" i="3"/>
  <c r="H45" i="3"/>
  <c r="O61" i="1"/>
  <c r="P61" i="1" s="1"/>
  <c r="H61" i="1"/>
  <c r="Q61" i="1"/>
  <c r="L61" i="1"/>
  <c r="M61" i="1" s="1"/>
  <c r="I61" i="1"/>
  <c r="J61" i="1" s="1"/>
  <c r="K61" i="1"/>
  <c r="F61" i="1"/>
  <c r="G61" i="1" s="1"/>
  <c r="N61" i="1"/>
  <c r="J41" i="3"/>
  <c r="K57" i="3"/>
  <c r="J77" i="3"/>
  <c r="J18" i="9" s="1"/>
  <c r="AN18" i="9" s="1"/>
  <c r="F41" i="3"/>
  <c r="J75" i="3"/>
  <c r="J16" i="9" s="1"/>
  <c r="H49" i="3"/>
  <c r="C17" i="1" l="1"/>
  <c r="E18" i="1"/>
  <c r="E68" i="1"/>
  <c r="C69" i="1"/>
  <c r="T62" i="1"/>
  <c r="R62" i="1"/>
  <c r="S62" i="1" s="1"/>
  <c r="T49" i="1"/>
  <c r="R40" i="1"/>
  <c r="S40" i="1" s="1"/>
  <c r="F56" i="3"/>
  <c r="AT16" i="9"/>
  <c r="BD17" i="9"/>
  <c r="AN17" i="9"/>
  <c r="AT17" i="9"/>
  <c r="AZ16" i="7"/>
  <c r="H14" i="7"/>
  <c r="AT14" i="7" s="1"/>
  <c r="H17" i="7"/>
  <c r="P13" i="7"/>
  <c r="AZ13" i="7" s="1"/>
  <c r="Z16" i="7"/>
  <c r="AL16" i="7" s="1"/>
  <c r="Z13" i="7"/>
  <c r="AL13" i="7" s="1"/>
  <c r="R17" i="7"/>
  <c r="J18" i="7"/>
  <c r="AN18" i="7" s="1"/>
  <c r="D17" i="7"/>
  <c r="J16" i="7"/>
  <c r="P15" i="7"/>
  <c r="AT15" i="7" s="1"/>
  <c r="Z18" i="7"/>
  <c r="BD18" i="7" s="1"/>
  <c r="Z17" i="7"/>
  <c r="R73" i="3"/>
  <c r="R14" i="9" s="1"/>
  <c r="BD14" i="9" s="1"/>
  <c r="H65" i="3"/>
  <c r="J72" i="3"/>
  <c r="J13" i="9" s="1"/>
  <c r="AT13" i="9" s="1"/>
  <c r="F60" i="3"/>
  <c r="Z73" i="3"/>
  <c r="Z14" i="9" s="1"/>
  <c r="AN14" i="9" s="1"/>
  <c r="H57" i="3"/>
  <c r="G47" i="3"/>
  <c r="G66" i="3" s="1"/>
  <c r="O40" i="1"/>
  <c r="P40" i="1" s="1"/>
  <c r="Q45" i="1"/>
  <c r="K43" i="1"/>
  <c r="I40" i="1"/>
  <c r="J40" i="1" s="1"/>
  <c r="F40" i="1"/>
  <c r="G40" i="1" s="1"/>
  <c r="H44" i="1"/>
  <c r="L40" i="1"/>
  <c r="M40" i="1" s="1"/>
  <c r="N47" i="1"/>
  <c r="J42" i="3"/>
  <c r="K58" i="3"/>
  <c r="L77" i="3"/>
  <c r="L18" i="9" s="1"/>
  <c r="AP18" i="9" s="1"/>
  <c r="Z74" i="3"/>
  <c r="Z15" i="9" s="1"/>
  <c r="BD15" i="9" s="1"/>
  <c r="J65" i="3"/>
  <c r="F42" i="3"/>
  <c r="K47" i="3"/>
  <c r="H38" i="3"/>
  <c r="D73" i="3" s="1"/>
  <c r="D14" i="9" s="1"/>
  <c r="O62" i="1"/>
  <c r="P62" i="1" s="1"/>
  <c r="K62" i="1"/>
  <c r="Q62" i="1"/>
  <c r="I62" i="1"/>
  <c r="J62" i="1" s="1"/>
  <c r="H62" i="1"/>
  <c r="N62" i="1"/>
  <c r="F62" i="1"/>
  <c r="G62" i="1" s="1"/>
  <c r="L62" i="1"/>
  <c r="M62" i="1" s="1"/>
  <c r="L75" i="3"/>
  <c r="L16" i="9" s="1"/>
  <c r="J57" i="3"/>
  <c r="J74" i="3"/>
  <c r="J15" i="9" s="1"/>
  <c r="AN15" i="9" s="1"/>
  <c r="C70" i="1" l="1"/>
  <c r="E69" i="1"/>
  <c r="C16" i="1"/>
  <c r="E17" i="1"/>
  <c r="T48" i="1"/>
  <c r="R39" i="1"/>
  <c r="S39" i="1" s="1"/>
  <c r="R63" i="1"/>
  <c r="S63" i="1" s="1"/>
  <c r="T63" i="1"/>
  <c r="AV16" i="9"/>
  <c r="AN17" i="7"/>
  <c r="AT16" i="7"/>
  <c r="BD17" i="7"/>
  <c r="AT17" i="7"/>
  <c r="R14" i="7"/>
  <c r="BD14" i="7" s="1"/>
  <c r="D14" i="7"/>
  <c r="L18" i="7"/>
  <c r="AP18" i="7" s="1"/>
  <c r="J15" i="7"/>
  <c r="AN15" i="7" s="1"/>
  <c r="L16" i="7"/>
  <c r="J13" i="7"/>
  <c r="AT13" i="7" s="1"/>
  <c r="Z14" i="7"/>
  <c r="AN14" i="7" s="1"/>
  <c r="Z15" i="7"/>
  <c r="BD15" i="7" s="1"/>
  <c r="L72" i="3"/>
  <c r="L13" i="9" s="1"/>
  <c r="AV13" i="9" s="1"/>
  <c r="F61" i="3"/>
  <c r="G54" i="3"/>
  <c r="K40" i="3"/>
  <c r="O39" i="1"/>
  <c r="P39" i="1" s="1"/>
  <c r="N46" i="1"/>
  <c r="Q44" i="1"/>
  <c r="I39" i="1"/>
  <c r="J39" i="1" s="1"/>
  <c r="F39" i="1"/>
  <c r="G39" i="1" s="1"/>
  <c r="K42" i="1"/>
  <c r="L39" i="1"/>
  <c r="M39" i="1" s="1"/>
  <c r="H43" i="1"/>
  <c r="V77" i="3"/>
  <c r="V18" i="9" s="1"/>
  <c r="AZ18" i="9" s="1"/>
  <c r="K63" i="3"/>
  <c r="O63" i="1"/>
  <c r="P63" i="1" s="1"/>
  <c r="H63" i="1"/>
  <c r="Q63" i="1"/>
  <c r="L63" i="1"/>
  <c r="M63" i="1" s="1"/>
  <c r="N63" i="1"/>
  <c r="K63" i="1"/>
  <c r="I63" i="1"/>
  <c r="J63" i="1" s="1"/>
  <c r="F63" i="1"/>
  <c r="G63" i="1" s="1"/>
  <c r="V75" i="3"/>
  <c r="V16" i="9" s="1"/>
  <c r="G40" i="3"/>
  <c r="G59" i="3" s="1"/>
  <c r="J47" i="3"/>
  <c r="T64" i="1"/>
  <c r="L74" i="3"/>
  <c r="L15" i="9" s="1"/>
  <c r="AP15" i="9" s="1"/>
  <c r="J58" i="3"/>
  <c r="F47" i="3"/>
  <c r="C15" i="1" l="1"/>
  <c r="E16" i="1"/>
  <c r="C71" i="1"/>
  <c r="E70" i="1"/>
  <c r="T47" i="1"/>
  <c r="R38" i="1"/>
  <c r="S38" i="1" s="1"/>
  <c r="R64" i="1"/>
  <c r="S64" i="1" s="1"/>
  <c r="BF16" i="9"/>
  <c r="AH16" i="9"/>
  <c r="AV16" i="7"/>
  <c r="L15" i="7"/>
  <c r="AP15" i="7" s="1"/>
  <c r="L13" i="7"/>
  <c r="AV13" i="7" s="1"/>
  <c r="V16" i="7"/>
  <c r="V18" i="7"/>
  <c r="AZ18" i="7" s="1"/>
  <c r="V72" i="3"/>
  <c r="V13" i="9" s="1"/>
  <c r="F66" i="3"/>
  <c r="F54" i="3"/>
  <c r="O64" i="1"/>
  <c r="P64" i="1" s="1"/>
  <c r="Q64" i="1"/>
  <c r="L64" i="1"/>
  <c r="M64" i="1" s="1"/>
  <c r="K64" i="1"/>
  <c r="I64" i="1"/>
  <c r="J64" i="1" s="1"/>
  <c r="F64" i="1"/>
  <c r="G64" i="1" s="1"/>
  <c r="H64" i="1"/>
  <c r="N64" i="1"/>
  <c r="F40" i="3"/>
  <c r="J63" i="3"/>
  <c r="V74" i="3"/>
  <c r="V15" i="9" s="1"/>
  <c r="AZ15" i="9" s="1"/>
  <c r="O38" i="1"/>
  <c r="P38" i="1" s="1"/>
  <c r="H42" i="1"/>
  <c r="Q43" i="1"/>
  <c r="L38" i="1"/>
  <c r="M38" i="1" s="1"/>
  <c r="I38" i="1"/>
  <c r="J38" i="1" s="1"/>
  <c r="K41" i="1"/>
  <c r="N45" i="1"/>
  <c r="F38" i="1"/>
  <c r="G38" i="1" s="1"/>
  <c r="H75" i="3"/>
  <c r="H16" i="9" s="1"/>
  <c r="K45" i="3"/>
  <c r="G45" i="3"/>
  <c r="G64" i="3" s="1"/>
  <c r="H77" i="3"/>
  <c r="H18" i="9" s="1"/>
  <c r="AL18" i="9" s="1"/>
  <c r="K56" i="3"/>
  <c r="J40" i="3"/>
  <c r="E71" i="1" l="1"/>
  <c r="C72" i="1"/>
  <c r="C14" i="1"/>
  <c r="E15" i="1"/>
  <c r="R65" i="1"/>
  <c r="S65" i="1" s="1"/>
  <c r="T65" i="1"/>
  <c r="T46" i="1"/>
  <c r="R37" i="1"/>
  <c r="S37" i="1" s="1"/>
  <c r="AR16" i="9"/>
  <c r="BF13" i="9"/>
  <c r="AH13" i="9"/>
  <c r="V13" i="7"/>
  <c r="V15" i="7"/>
  <c r="AZ15" i="7" s="1"/>
  <c r="BF16" i="7"/>
  <c r="AH16" i="7"/>
  <c r="H16" i="7"/>
  <c r="H18" i="7"/>
  <c r="AL18" i="7" s="1"/>
  <c r="I54" i="3"/>
  <c r="H72" i="3"/>
  <c r="H13" i="9" s="1"/>
  <c r="AR13" i="9" s="1"/>
  <c r="F59" i="3"/>
  <c r="J56" i="3"/>
  <c r="H74" i="3"/>
  <c r="H15" i="9" s="1"/>
  <c r="AL15" i="9" s="1"/>
  <c r="R75" i="3"/>
  <c r="R16" i="9" s="1"/>
  <c r="Q65" i="1"/>
  <c r="I65" i="1"/>
  <c r="J65" i="1" s="1"/>
  <c r="F65" i="1"/>
  <c r="G65" i="1" s="1"/>
  <c r="H65" i="1"/>
  <c r="O65" i="1"/>
  <c r="P65" i="1" s="1"/>
  <c r="L65" i="1"/>
  <c r="M65" i="1" s="1"/>
  <c r="N65" i="1"/>
  <c r="K65" i="1"/>
  <c r="J45" i="3"/>
  <c r="Q42" i="1"/>
  <c r="N44" i="1"/>
  <c r="O37" i="1"/>
  <c r="P37" i="1" s="1"/>
  <c r="F37" i="1"/>
  <c r="G37" i="1" s="1"/>
  <c r="I37" i="1"/>
  <c r="J37" i="1" s="1"/>
  <c r="H41" i="1"/>
  <c r="L37" i="1"/>
  <c r="M37" i="1" s="1"/>
  <c r="K40" i="1"/>
  <c r="K38" i="3"/>
  <c r="K61" i="3"/>
  <c r="R77" i="3"/>
  <c r="R18" i="9" s="1"/>
  <c r="AV18" i="9" s="1"/>
  <c r="F45" i="3"/>
  <c r="G38" i="3"/>
  <c r="C13" i="1" l="1"/>
  <c r="E14" i="1"/>
  <c r="E72" i="1"/>
  <c r="C73" i="1"/>
  <c r="R66" i="1"/>
  <c r="S66" i="1" s="1"/>
  <c r="T66" i="1"/>
  <c r="R36" i="1"/>
  <c r="S36" i="1" s="1"/>
  <c r="T45" i="1"/>
  <c r="BB16" i="9"/>
  <c r="AR16" i="7"/>
  <c r="BF13" i="7"/>
  <c r="AH13" i="7"/>
  <c r="H13" i="7"/>
  <c r="AR13" i="7" s="1"/>
  <c r="H15" i="7"/>
  <c r="AL15" i="7" s="1"/>
  <c r="R18" i="7"/>
  <c r="AV18" i="7" s="1"/>
  <c r="R16" i="7"/>
  <c r="R72" i="3"/>
  <c r="R13" i="9" s="1"/>
  <c r="BB13" i="9" s="1"/>
  <c r="F64" i="3"/>
  <c r="H54" i="3"/>
  <c r="Q41" i="1"/>
  <c r="I36" i="1"/>
  <c r="J36" i="1" s="1"/>
  <c r="O36" i="1"/>
  <c r="P36" i="1" s="1"/>
  <c r="L36" i="1"/>
  <c r="M36" i="1" s="1"/>
  <c r="H40" i="1"/>
  <c r="K39" i="1"/>
  <c r="N43" i="1"/>
  <c r="F36" i="1"/>
  <c r="G36" i="1" s="1"/>
  <c r="J38" i="3"/>
  <c r="D75" i="3"/>
  <c r="D16" i="9" s="1"/>
  <c r="F38" i="3"/>
  <c r="D72" i="3" s="1"/>
  <c r="D13" i="9" s="1"/>
  <c r="D77" i="3"/>
  <c r="D18" i="9" s="1"/>
  <c r="AH18" i="9" s="1"/>
  <c r="K54" i="3"/>
  <c r="R74" i="3"/>
  <c r="R15" i="9" s="1"/>
  <c r="AV15" i="9" s="1"/>
  <c r="J61" i="3"/>
  <c r="K66" i="1"/>
  <c r="Q66" i="1"/>
  <c r="F66" i="1"/>
  <c r="G66" i="1" s="1"/>
  <c r="I66" i="1"/>
  <c r="J66" i="1" s="1"/>
  <c r="H66" i="1"/>
  <c r="O66" i="1"/>
  <c r="P66" i="1" s="1"/>
  <c r="L66" i="1"/>
  <c r="M66" i="1" s="1"/>
  <c r="N66" i="1"/>
  <c r="C74" i="1" l="1"/>
  <c r="E73" i="1"/>
  <c r="C12" i="1"/>
  <c r="E13" i="1"/>
  <c r="R67" i="1"/>
  <c r="S67" i="1" s="1"/>
  <c r="T67" i="1"/>
  <c r="T44" i="1"/>
  <c r="R35" i="1"/>
  <c r="S35" i="1" s="1"/>
  <c r="BB16" i="7"/>
  <c r="D13" i="7"/>
  <c r="R15" i="7"/>
  <c r="AV15" i="7" s="1"/>
  <c r="R13" i="7"/>
  <c r="BB13" i="7" s="1"/>
  <c r="D18" i="7"/>
  <c r="AH18" i="7" s="1"/>
  <c r="D16" i="7"/>
  <c r="L33" i="3"/>
  <c r="L34" i="3"/>
  <c r="O67" i="1"/>
  <c r="P67" i="1" s="1"/>
  <c r="F67" i="1"/>
  <c r="G67" i="1" s="1"/>
  <c r="K67" i="1"/>
  <c r="Q67" i="1"/>
  <c r="N67" i="1"/>
  <c r="L67" i="1"/>
  <c r="M67" i="1" s="1"/>
  <c r="I67" i="1"/>
  <c r="J67" i="1" s="1"/>
  <c r="H67" i="1"/>
  <c r="D74" i="3"/>
  <c r="D15" i="9" s="1"/>
  <c r="AH15" i="9" s="1"/>
  <c r="J54" i="3"/>
  <c r="O35" i="1"/>
  <c r="P35" i="1" s="1"/>
  <c r="K38" i="1"/>
  <c r="I35" i="1"/>
  <c r="J35" i="1" s="1"/>
  <c r="Q40" i="1"/>
  <c r="L35" i="1"/>
  <c r="M35" i="1" s="1"/>
  <c r="N42" i="1"/>
  <c r="H39" i="1"/>
  <c r="F35" i="1"/>
  <c r="G35" i="1" s="1"/>
  <c r="C11" i="1" l="1"/>
  <c r="E12" i="1"/>
  <c r="C75" i="1"/>
  <c r="E74" i="1"/>
  <c r="R68" i="1"/>
  <c r="S68" i="1" s="1"/>
  <c r="T68" i="1"/>
  <c r="T43" i="1"/>
  <c r="R34" i="1"/>
  <c r="S34" i="1" s="1"/>
  <c r="D15" i="7"/>
  <c r="AH15" i="7" s="1"/>
  <c r="N68" i="1"/>
  <c r="O68" i="1"/>
  <c r="P68" i="1" s="1"/>
  <c r="L68" i="1"/>
  <c r="M68" i="1" s="1"/>
  <c r="F68" i="1"/>
  <c r="G68" i="1" s="1"/>
  <c r="H68" i="1"/>
  <c r="Q68" i="1"/>
  <c r="I68" i="1"/>
  <c r="J68" i="1" s="1"/>
  <c r="K68" i="1"/>
  <c r="O34" i="1"/>
  <c r="P34" i="1" s="1"/>
  <c r="L34" i="1"/>
  <c r="M34" i="1" s="1"/>
  <c r="Q39" i="1"/>
  <c r="I34" i="1"/>
  <c r="J34" i="1" s="1"/>
  <c r="N41" i="1"/>
  <c r="K37" i="1"/>
  <c r="F34" i="1"/>
  <c r="G34" i="1" s="1"/>
  <c r="H38" i="1"/>
  <c r="E75" i="1" l="1"/>
  <c r="C76" i="1"/>
  <c r="C10" i="1"/>
  <c r="E11" i="1"/>
  <c r="R69" i="1"/>
  <c r="S69" i="1" s="1"/>
  <c r="T69" i="1"/>
  <c r="R33" i="1"/>
  <c r="S33" i="1" s="1"/>
  <c r="T42" i="1"/>
  <c r="O33" i="1"/>
  <c r="P33" i="1" s="1"/>
  <c r="Q38" i="1"/>
  <c r="H37" i="1"/>
  <c r="F33" i="1"/>
  <c r="G33" i="1" s="1"/>
  <c r="I33" i="1"/>
  <c r="J33" i="1" s="1"/>
  <c r="N40" i="1"/>
  <c r="L33" i="1"/>
  <c r="M33" i="1" s="1"/>
  <c r="K36" i="1"/>
  <c r="I69" i="1"/>
  <c r="J69" i="1" s="1"/>
  <c r="O69" i="1"/>
  <c r="P69" i="1" s="1"/>
  <c r="L69" i="1"/>
  <c r="M69" i="1" s="1"/>
  <c r="F69" i="1"/>
  <c r="G69" i="1" s="1"/>
  <c r="H69" i="1"/>
  <c r="Q69" i="1"/>
  <c r="N69" i="1"/>
  <c r="K69" i="1"/>
  <c r="C9" i="1" l="1"/>
  <c r="E10" i="1"/>
  <c r="E76" i="1"/>
  <c r="C77" i="1"/>
  <c r="R32" i="1"/>
  <c r="S32" i="1" s="1"/>
  <c r="T41" i="1"/>
  <c r="R70" i="1"/>
  <c r="S70" i="1" s="1"/>
  <c r="T70" i="1"/>
  <c r="Q70" i="1"/>
  <c r="I70" i="1"/>
  <c r="J70" i="1" s="1"/>
  <c r="H70" i="1"/>
  <c r="O70" i="1"/>
  <c r="P70" i="1" s="1"/>
  <c r="F70" i="1"/>
  <c r="G70" i="1" s="1"/>
  <c r="N70" i="1"/>
  <c r="K70" i="1"/>
  <c r="L70" i="1"/>
  <c r="M70" i="1" s="1"/>
  <c r="N39" i="1"/>
  <c r="O32" i="1"/>
  <c r="P32" i="1" s="1"/>
  <c r="I32" i="1"/>
  <c r="J32" i="1" s="1"/>
  <c r="L32" i="1"/>
  <c r="M32" i="1" s="1"/>
  <c r="F32" i="1"/>
  <c r="G32" i="1" s="1"/>
  <c r="K35" i="1"/>
  <c r="Q37" i="1"/>
  <c r="H36" i="1"/>
  <c r="C78" i="1" l="1"/>
  <c r="E77" i="1"/>
  <c r="C8" i="1"/>
  <c r="E9" i="1"/>
  <c r="R31" i="1"/>
  <c r="S31" i="1" s="1"/>
  <c r="T40" i="1"/>
  <c r="R71" i="1"/>
  <c r="S71" i="1" s="1"/>
  <c r="T71" i="1"/>
  <c r="N38" i="1"/>
  <c r="Q36" i="1"/>
  <c r="H35" i="1"/>
  <c r="F31" i="1"/>
  <c r="G31" i="1" s="1"/>
  <c r="K34" i="1"/>
  <c r="O31" i="1"/>
  <c r="P31" i="1" s="1"/>
  <c r="L31" i="1"/>
  <c r="M31" i="1" s="1"/>
  <c r="I31" i="1"/>
  <c r="J31" i="1" s="1"/>
  <c r="H71" i="1"/>
  <c r="Q71" i="1"/>
  <c r="I71" i="1"/>
  <c r="J71" i="1" s="1"/>
  <c r="N71" i="1"/>
  <c r="K71" i="1"/>
  <c r="O71" i="1"/>
  <c r="P71" i="1" s="1"/>
  <c r="L71" i="1"/>
  <c r="M71" i="1" s="1"/>
  <c r="F71" i="1"/>
  <c r="G71" i="1" s="1"/>
  <c r="C7" i="1" l="1"/>
  <c r="E8" i="1"/>
  <c r="C79" i="1"/>
  <c r="E78" i="1"/>
  <c r="R30" i="1"/>
  <c r="S30" i="1" s="1"/>
  <c r="T39" i="1"/>
  <c r="R72" i="1"/>
  <c r="S72" i="1" s="1"/>
  <c r="T72" i="1"/>
  <c r="Q72" i="1"/>
  <c r="H72" i="1"/>
  <c r="I72" i="1"/>
  <c r="J72" i="1" s="1"/>
  <c r="O72" i="1"/>
  <c r="P72" i="1" s="1"/>
  <c r="L72" i="1"/>
  <c r="M72" i="1" s="1"/>
  <c r="F72" i="1"/>
  <c r="G72" i="1" s="1"/>
  <c r="K72" i="1"/>
  <c r="N72" i="1"/>
  <c r="L30" i="1"/>
  <c r="M30" i="1" s="1"/>
  <c r="O30" i="1"/>
  <c r="P30" i="1" s="1"/>
  <c r="N37" i="1"/>
  <c r="I30" i="1"/>
  <c r="J30" i="1" s="1"/>
  <c r="K33" i="1"/>
  <c r="Q35" i="1"/>
  <c r="F30" i="1"/>
  <c r="G30" i="1" s="1"/>
  <c r="H34" i="1"/>
  <c r="E79" i="1" l="1"/>
  <c r="C80" i="1"/>
  <c r="C6" i="1"/>
  <c r="E7" i="1"/>
  <c r="R29" i="1"/>
  <c r="S29" i="1" s="1"/>
  <c r="T38" i="1"/>
  <c r="R73" i="1"/>
  <c r="S73" i="1" s="1"/>
  <c r="T73" i="1"/>
  <c r="O29" i="1"/>
  <c r="P29" i="1" s="1"/>
  <c r="K32" i="1"/>
  <c r="F29" i="1"/>
  <c r="G29" i="1" s="1"/>
  <c r="N36" i="1"/>
  <c r="Q34" i="1"/>
  <c r="L29" i="1"/>
  <c r="M29" i="1" s="1"/>
  <c r="H33" i="1"/>
  <c r="I29" i="1"/>
  <c r="J29" i="1" s="1"/>
  <c r="L73" i="1"/>
  <c r="M73" i="1" s="1"/>
  <c r="O73" i="1"/>
  <c r="P73" i="1" s="1"/>
  <c r="F73" i="1"/>
  <c r="G73" i="1" s="1"/>
  <c r="N73" i="1"/>
  <c r="K73" i="1"/>
  <c r="Q73" i="1"/>
  <c r="I73" i="1"/>
  <c r="J73" i="1" s="1"/>
  <c r="H73" i="1"/>
  <c r="C5" i="1" l="1"/>
  <c r="E6" i="1"/>
  <c r="C81" i="1"/>
  <c r="E80" i="1"/>
  <c r="T74" i="1"/>
  <c r="R74" i="1"/>
  <c r="S74" i="1" s="1"/>
  <c r="R28" i="1"/>
  <c r="S28" i="1" s="1"/>
  <c r="T37" i="1"/>
  <c r="O28" i="1"/>
  <c r="P28" i="1" s="1"/>
  <c r="Q33" i="1"/>
  <c r="L28" i="1"/>
  <c r="M28" i="1" s="1"/>
  <c r="I28" i="1"/>
  <c r="J28" i="1" s="1"/>
  <c r="F28" i="1"/>
  <c r="G28" i="1" s="1"/>
  <c r="N35" i="1"/>
  <c r="H32" i="1"/>
  <c r="K31" i="1"/>
  <c r="I74" i="1"/>
  <c r="J74" i="1" s="1"/>
  <c r="Q74" i="1"/>
  <c r="F74" i="1"/>
  <c r="G74" i="1" s="1"/>
  <c r="N74" i="1"/>
  <c r="K74" i="1"/>
  <c r="O74" i="1"/>
  <c r="P74" i="1" s="1"/>
  <c r="L74" i="1"/>
  <c r="M74" i="1" s="1"/>
  <c r="H74" i="1"/>
  <c r="C82" i="1" l="1"/>
  <c r="E81" i="1"/>
  <c r="C4" i="1"/>
  <c r="E4" i="1" s="1"/>
  <c r="E5" i="1"/>
  <c r="T36" i="1"/>
  <c r="R27" i="1"/>
  <c r="S27" i="1" s="1"/>
  <c r="T75" i="1"/>
  <c r="R75" i="1"/>
  <c r="S75" i="1" s="1"/>
  <c r="N75" i="1"/>
  <c r="O75" i="1"/>
  <c r="P75" i="1" s="1"/>
  <c r="L75" i="1"/>
  <c r="M75" i="1" s="1"/>
  <c r="I75" i="1"/>
  <c r="J75" i="1" s="1"/>
  <c r="H75" i="1"/>
  <c r="Q75" i="1"/>
  <c r="F75" i="1"/>
  <c r="G75" i="1" s="1"/>
  <c r="K75" i="1"/>
  <c r="N34" i="1"/>
  <c r="O27" i="1"/>
  <c r="P27" i="1" s="1"/>
  <c r="L27" i="1"/>
  <c r="M27" i="1" s="1"/>
  <c r="K30" i="1"/>
  <c r="H31" i="1"/>
  <c r="Q32" i="1"/>
  <c r="F27" i="1"/>
  <c r="G27" i="1" s="1"/>
  <c r="I27" i="1"/>
  <c r="J27" i="1" s="1"/>
  <c r="C83" i="1" l="1"/>
  <c r="E82" i="1"/>
  <c r="T35" i="1"/>
  <c r="R26" i="1"/>
  <c r="S26" i="1" s="1"/>
  <c r="T76" i="1"/>
  <c r="R76" i="1"/>
  <c r="S76" i="1" s="1"/>
  <c r="Q31" i="1"/>
  <c r="H30" i="1"/>
  <c r="O26" i="1"/>
  <c r="P26" i="1" s="1"/>
  <c r="I26" i="1"/>
  <c r="J26" i="1" s="1"/>
  <c r="F26" i="1"/>
  <c r="G26" i="1" s="1"/>
  <c r="K29" i="1"/>
  <c r="L26" i="1"/>
  <c r="M26" i="1" s="1"/>
  <c r="N33" i="1"/>
  <c r="O76" i="1"/>
  <c r="P76" i="1" s="1"/>
  <c r="Q76" i="1"/>
  <c r="H76" i="1"/>
  <c r="I76" i="1"/>
  <c r="J76" i="1" s="1"/>
  <c r="N76" i="1"/>
  <c r="K76" i="1"/>
  <c r="F76" i="1"/>
  <c r="G76" i="1" s="1"/>
  <c r="L76" i="1"/>
  <c r="M76" i="1" s="1"/>
  <c r="E83" i="1" l="1"/>
  <c r="C84" i="1"/>
  <c r="R77" i="1"/>
  <c r="S77" i="1" s="1"/>
  <c r="T77" i="1"/>
  <c r="R25" i="1"/>
  <c r="S25" i="1" s="1"/>
  <c r="T34" i="1"/>
  <c r="Q77" i="1"/>
  <c r="I77" i="1"/>
  <c r="J77" i="1" s="1"/>
  <c r="N77" i="1"/>
  <c r="K77" i="1"/>
  <c r="L77" i="1"/>
  <c r="M77" i="1" s="1"/>
  <c r="F77" i="1"/>
  <c r="G77" i="1" s="1"/>
  <c r="O77" i="1"/>
  <c r="P77" i="1" s="1"/>
  <c r="H77" i="1"/>
  <c r="O25" i="1"/>
  <c r="P25" i="1" s="1"/>
  <c r="H29" i="1"/>
  <c r="Q30" i="1"/>
  <c r="K28" i="1"/>
  <c r="I25" i="1"/>
  <c r="J25" i="1" s="1"/>
  <c r="N32" i="1"/>
  <c r="L25" i="1"/>
  <c r="M25" i="1" s="1"/>
  <c r="F25" i="1"/>
  <c r="G25" i="1" s="1"/>
  <c r="E84" i="1" l="1"/>
  <c r="C85" i="1"/>
  <c r="R78" i="1"/>
  <c r="S78" i="1" s="1"/>
  <c r="T78" i="1"/>
  <c r="R24" i="1"/>
  <c r="S24" i="1" s="1"/>
  <c r="T33" i="1"/>
  <c r="O24" i="1"/>
  <c r="P24" i="1" s="1"/>
  <c r="F24" i="1"/>
  <c r="G24" i="1" s="1"/>
  <c r="L24" i="1"/>
  <c r="M24" i="1" s="1"/>
  <c r="H28" i="1"/>
  <c r="N31" i="1"/>
  <c r="Q29" i="1"/>
  <c r="I24" i="1"/>
  <c r="J24" i="1" s="1"/>
  <c r="K27" i="1"/>
  <c r="N78" i="1"/>
  <c r="O78" i="1"/>
  <c r="P78" i="1" s="1"/>
  <c r="L78" i="1"/>
  <c r="M78" i="1" s="1"/>
  <c r="I78" i="1"/>
  <c r="J78" i="1" s="1"/>
  <c r="H78" i="1"/>
  <c r="Q78" i="1"/>
  <c r="F78" i="1"/>
  <c r="G78" i="1" s="1"/>
  <c r="K78" i="1"/>
  <c r="C86" i="1" l="1"/>
  <c r="E85" i="1"/>
  <c r="R79" i="1"/>
  <c r="S79" i="1" s="1"/>
  <c r="T79" i="1"/>
  <c r="T32" i="1"/>
  <c r="R23" i="1"/>
  <c r="S23" i="1" s="1"/>
  <c r="F79" i="1"/>
  <c r="G79" i="1" s="1"/>
  <c r="K79" i="1"/>
  <c r="Q79" i="1"/>
  <c r="L79" i="1"/>
  <c r="M79" i="1" s="1"/>
  <c r="I79" i="1"/>
  <c r="J79" i="1" s="1"/>
  <c r="H79" i="1"/>
  <c r="O79" i="1"/>
  <c r="P79" i="1" s="1"/>
  <c r="N79" i="1"/>
  <c r="Q28" i="1"/>
  <c r="K26" i="1"/>
  <c r="H27" i="1"/>
  <c r="O23" i="1"/>
  <c r="P23" i="1" s="1"/>
  <c r="I23" i="1"/>
  <c r="J23" i="1" s="1"/>
  <c r="L23" i="1"/>
  <c r="M23" i="1" s="1"/>
  <c r="F23" i="1"/>
  <c r="G23" i="1" s="1"/>
  <c r="N30" i="1"/>
  <c r="C87" i="1" l="1"/>
  <c r="E86" i="1"/>
  <c r="R80" i="1"/>
  <c r="S80" i="1" s="1"/>
  <c r="T80" i="1"/>
  <c r="R22" i="1"/>
  <c r="S22" i="1" s="1"/>
  <c r="T31" i="1"/>
  <c r="Q80" i="1"/>
  <c r="F80" i="1"/>
  <c r="G80" i="1" s="1"/>
  <c r="H80" i="1"/>
  <c r="O80" i="1"/>
  <c r="P80" i="1" s="1"/>
  <c r="I80" i="1"/>
  <c r="J80" i="1" s="1"/>
  <c r="N80" i="1"/>
  <c r="K80" i="1"/>
  <c r="L80" i="1"/>
  <c r="M80" i="1" s="1"/>
  <c r="Q27" i="1"/>
  <c r="F22" i="1"/>
  <c r="G22" i="1" s="1"/>
  <c r="K25" i="1"/>
  <c r="O22" i="1"/>
  <c r="P22" i="1" s="1"/>
  <c r="I22" i="1"/>
  <c r="J22" i="1" s="1"/>
  <c r="L22" i="1"/>
  <c r="M22" i="1" s="1"/>
  <c r="H26" i="1"/>
  <c r="N29" i="1"/>
  <c r="E87" i="1" l="1"/>
  <c r="C88" i="1"/>
  <c r="T30" i="1"/>
  <c r="R21" i="1"/>
  <c r="S21" i="1" s="1"/>
  <c r="R81" i="1"/>
  <c r="S81" i="1" s="1"/>
  <c r="T81" i="1"/>
  <c r="F81" i="1"/>
  <c r="G81" i="1" s="1"/>
  <c r="K81" i="1"/>
  <c r="Q81" i="1"/>
  <c r="L81" i="1"/>
  <c r="M81" i="1" s="1"/>
  <c r="I81" i="1"/>
  <c r="J81" i="1" s="1"/>
  <c r="H81" i="1"/>
  <c r="O81" i="1"/>
  <c r="P81" i="1" s="1"/>
  <c r="N81" i="1"/>
  <c r="L21" i="1"/>
  <c r="M21" i="1" s="1"/>
  <c r="O21" i="1"/>
  <c r="P21" i="1" s="1"/>
  <c r="Q26" i="1"/>
  <c r="I21" i="1"/>
  <c r="J21" i="1" s="1"/>
  <c r="N28" i="1"/>
  <c r="F21" i="1"/>
  <c r="G21" i="1" s="1"/>
  <c r="K24" i="1"/>
  <c r="H25" i="1"/>
  <c r="E88" i="1" l="1"/>
  <c r="C89" i="1"/>
  <c r="T29" i="1"/>
  <c r="R20" i="1"/>
  <c r="S20" i="1" s="1"/>
  <c r="R82" i="1"/>
  <c r="S82" i="1" s="1"/>
  <c r="T82" i="1"/>
  <c r="H24" i="1"/>
  <c r="N27" i="1"/>
  <c r="O20" i="1"/>
  <c r="P20" i="1" s="1"/>
  <c r="Q25" i="1"/>
  <c r="F20" i="1"/>
  <c r="G20" i="1" s="1"/>
  <c r="L20" i="1"/>
  <c r="M20" i="1" s="1"/>
  <c r="I20" i="1"/>
  <c r="J20" i="1" s="1"/>
  <c r="K23" i="1"/>
  <c r="O82" i="1"/>
  <c r="P82" i="1" s="1"/>
  <c r="N82" i="1"/>
  <c r="H82" i="1"/>
  <c r="Q82" i="1"/>
  <c r="F82" i="1"/>
  <c r="G82" i="1" s="1"/>
  <c r="I82" i="1"/>
  <c r="J82" i="1" s="1"/>
  <c r="K82" i="1"/>
  <c r="L82" i="1"/>
  <c r="M82" i="1" s="1"/>
  <c r="C90" i="1" l="1"/>
  <c r="E89" i="1"/>
  <c r="R19" i="1"/>
  <c r="S19" i="1" s="1"/>
  <c r="T28" i="1"/>
  <c r="R83" i="1"/>
  <c r="S83" i="1" s="1"/>
  <c r="T83" i="1"/>
  <c r="K22" i="1"/>
  <c r="Q24" i="1"/>
  <c r="N26" i="1"/>
  <c r="H23" i="1"/>
  <c r="L19" i="1"/>
  <c r="M19" i="1" s="1"/>
  <c r="O19" i="1"/>
  <c r="P19" i="1" s="1"/>
  <c r="F19" i="1"/>
  <c r="G19" i="1" s="1"/>
  <c r="I19" i="1"/>
  <c r="J19" i="1" s="1"/>
  <c r="O83" i="1"/>
  <c r="P83" i="1" s="1"/>
  <c r="I83" i="1"/>
  <c r="J83" i="1" s="1"/>
  <c r="Q83" i="1"/>
  <c r="L83" i="1"/>
  <c r="M83" i="1" s="1"/>
  <c r="N83" i="1"/>
  <c r="K83" i="1"/>
  <c r="F83" i="1"/>
  <c r="G83" i="1" s="1"/>
  <c r="H83" i="1"/>
  <c r="C91" i="1" l="1"/>
  <c r="E91" i="1" s="1"/>
  <c r="E90" i="1"/>
  <c r="R18" i="1"/>
  <c r="S18" i="1" s="1"/>
  <c r="T27" i="1"/>
  <c r="R84" i="1"/>
  <c r="S84" i="1" s="1"/>
  <c r="T84" i="1"/>
  <c r="L84" i="1"/>
  <c r="M84" i="1" s="1"/>
  <c r="H84" i="1"/>
  <c r="O84" i="1"/>
  <c r="P84" i="1" s="1"/>
  <c r="F84" i="1"/>
  <c r="G84" i="1" s="1"/>
  <c r="N84" i="1"/>
  <c r="K84" i="1"/>
  <c r="Q84" i="1"/>
  <c r="I84" i="1"/>
  <c r="J84" i="1" s="1"/>
  <c r="I18" i="1"/>
  <c r="J18" i="1" s="1"/>
  <c r="K21" i="1"/>
  <c r="O18" i="1"/>
  <c r="P18" i="1" s="1"/>
  <c r="F18" i="1"/>
  <c r="G18" i="1" s="1"/>
  <c r="H22" i="1"/>
  <c r="Q23" i="1"/>
  <c r="L18" i="1"/>
  <c r="M18" i="1" s="1"/>
  <c r="N25" i="1"/>
  <c r="R17" i="1" l="1"/>
  <c r="S17" i="1" s="1"/>
  <c r="T26" i="1"/>
  <c r="R85" i="1"/>
  <c r="S85" i="1" s="1"/>
  <c r="T85" i="1"/>
  <c r="L85" i="1"/>
  <c r="M85" i="1" s="1"/>
  <c r="O85" i="1"/>
  <c r="P85" i="1" s="1"/>
  <c r="I85" i="1"/>
  <c r="J85" i="1" s="1"/>
  <c r="N85" i="1"/>
  <c r="K85" i="1"/>
  <c r="Q85" i="1"/>
  <c r="F85" i="1"/>
  <c r="G85" i="1" s="1"/>
  <c r="H85" i="1"/>
  <c r="O17" i="1"/>
  <c r="P17" i="1" s="1"/>
  <c r="L17" i="1"/>
  <c r="M17" i="1" s="1"/>
  <c r="N24" i="1"/>
  <c r="Q22" i="1"/>
  <c r="F17" i="1"/>
  <c r="G17" i="1" s="1"/>
  <c r="H21" i="1"/>
  <c r="K20" i="1"/>
  <c r="I17" i="1"/>
  <c r="J17" i="1" s="1"/>
  <c r="T86" i="1" l="1"/>
  <c r="R86" i="1"/>
  <c r="S86" i="1" s="1"/>
  <c r="T25" i="1"/>
  <c r="R16" i="1"/>
  <c r="S16" i="1" s="1"/>
  <c r="Q86" i="1"/>
  <c r="I86" i="1"/>
  <c r="J86" i="1" s="1"/>
  <c r="F86" i="1"/>
  <c r="G86" i="1" s="1"/>
  <c r="H86" i="1"/>
  <c r="O86" i="1"/>
  <c r="P86" i="1" s="1"/>
  <c r="L86" i="1"/>
  <c r="M86" i="1" s="1"/>
  <c r="N86" i="1"/>
  <c r="K86" i="1"/>
  <c r="O16" i="1"/>
  <c r="P16" i="1" s="1"/>
  <c r="Q21" i="1"/>
  <c r="H20" i="1"/>
  <c r="I16" i="1"/>
  <c r="J16" i="1" s="1"/>
  <c r="L16" i="1"/>
  <c r="M16" i="1" s="1"/>
  <c r="K19" i="1"/>
  <c r="F16" i="1"/>
  <c r="G16" i="1" s="1"/>
  <c r="N23" i="1"/>
  <c r="R15" i="1" l="1"/>
  <c r="S15" i="1" s="1"/>
  <c r="T24" i="1"/>
  <c r="R87" i="1"/>
  <c r="S87" i="1" s="1"/>
  <c r="T87" i="1"/>
  <c r="I87" i="1"/>
  <c r="J87" i="1" s="1"/>
  <c r="O87" i="1"/>
  <c r="P87" i="1" s="1"/>
  <c r="L87" i="1"/>
  <c r="M87" i="1" s="1"/>
  <c r="F87" i="1"/>
  <c r="G87" i="1" s="1"/>
  <c r="K87" i="1"/>
  <c r="Q87" i="1"/>
  <c r="N87" i="1"/>
  <c r="H87" i="1"/>
  <c r="Q20" i="1"/>
  <c r="F15" i="1"/>
  <c r="G15" i="1" s="1"/>
  <c r="L15" i="1"/>
  <c r="M15" i="1" s="1"/>
  <c r="N22" i="1"/>
  <c r="O15" i="1"/>
  <c r="P15" i="1" s="1"/>
  <c r="I15" i="1"/>
  <c r="J15" i="1" s="1"/>
  <c r="K18" i="1"/>
  <c r="H19" i="1"/>
  <c r="R14" i="1" l="1"/>
  <c r="S14" i="1" s="1"/>
  <c r="T23" i="1"/>
  <c r="R88" i="1"/>
  <c r="S88" i="1" s="1"/>
  <c r="T88" i="1"/>
  <c r="O88" i="1"/>
  <c r="P88" i="1" s="1"/>
  <c r="Q88" i="1"/>
  <c r="N88" i="1"/>
  <c r="F88" i="1"/>
  <c r="G88" i="1" s="1"/>
  <c r="L88" i="1"/>
  <c r="M88" i="1" s="1"/>
  <c r="H88" i="1"/>
  <c r="I88" i="1"/>
  <c r="J88" i="1" s="1"/>
  <c r="K88" i="1"/>
  <c r="I14" i="1"/>
  <c r="J14" i="1" s="1"/>
  <c r="O14" i="1"/>
  <c r="P14" i="1" s="1"/>
  <c r="L14" i="1"/>
  <c r="M14" i="1" s="1"/>
  <c r="F14" i="1"/>
  <c r="G14" i="1" s="1"/>
  <c r="H18" i="1"/>
  <c r="Q19" i="1"/>
  <c r="K17" i="1"/>
  <c r="N21" i="1"/>
  <c r="R89" i="1" l="1"/>
  <c r="S89" i="1" s="1"/>
  <c r="T89" i="1"/>
  <c r="T22" i="1"/>
  <c r="R13" i="1"/>
  <c r="S13" i="1" s="1"/>
  <c r="I89" i="1"/>
  <c r="J89" i="1" s="1"/>
  <c r="K89" i="1"/>
  <c r="O89" i="1"/>
  <c r="P89" i="1" s="1"/>
  <c r="F89" i="1"/>
  <c r="G89" i="1" s="1"/>
  <c r="L89" i="1"/>
  <c r="M89" i="1" s="1"/>
  <c r="H89" i="1"/>
  <c r="Q89" i="1"/>
  <c r="N89" i="1"/>
  <c r="O13" i="1"/>
  <c r="P13" i="1" s="1"/>
  <c r="I13" i="1"/>
  <c r="J13" i="1" s="1"/>
  <c r="Q18" i="1"/>
  <c r="F13" i="1"/>
  <c r="G13" i="1" s="1"/>
  <c r="H17" i="1"/>
  <c r="N20" i="1"/>
  <c r="L13" i="1"/>
  <c r="M13" i="1" s="1"/>
  <c r="K16" i="1"/>
  <c r="R91" i="1" l="1"/>
  <c r="S91" i="1" s="1"/>
  <c r="T91" i="1"/>
  <c r="H91" i="1"/>
  <c r="K91" i="1"/>
  <c r="R90" i="1"/>
  <c r="S90" i="1" s="1"/>
  <c r="T90" i="1"/>
  <c r="T21" i="1"/>
  <c r="L12" i="1"/>
  <c r="M12" i="1" s="1"/>
  <c r="O12" i="1"/>
  <c r="P12" i="1" s="1"/>
  <c r="I12" i="1"/>
  <c r="J12" i="1" s="1"/>
  <c r="H16" i="1"/>
  <c r="N19" i="1"/>
  <c r="Q17" i="1"/>
  <c r="F12" i="1"/>
  <c r="G12" i="1" s="1"/>
  <c r="K15" i="1"/>
  <c r="N91" i="1"/>
  <c r="O91" i="1"/>
  <c r="P91" i="1" s="1"/>
  <c r="L91" i="1"/>
  <c r="M91" i="1" s="1"/>
  <c r="F91" i="1"/>
  <c r="G91" i="1" s="1"/>
  <c r="Q91" i="1"/>
  <c r="I91" i="1"/>
  <c r="J91" i="1" s="1"/>
  <c r="Q90" i="1"/>
  <c r="F90" i="1"/>
  <c r="G90" i="1" s="1"/>
  <c r="O90" i="1"/>
  <c r="P90" i="1" s="1"/>
  <c r="I90" i="1"/>
  <c r="J90" i="1" s="1"/>
  <c r="N90" i="1"/>
  <c r="K90" i="1"/>
  <c r="L90" i="1"/>
  <c r="M90" i="1" s="1"/>
  <c r="H90" i="1"/>
  <c r="T20" i="1" l="1"/>
  <c r="Q16" i="1"/>
  <c r="L11" i="1"/>
  <c r="M11" i="1" s="1"/>
  <c r="N18" i="1"/>
  <c r="O11" i="1"/>
  <c r="P11" i="1" s="1"/>
  <c r="F11" i="1"/>
  <c r="G11" i="1" s="1"/>
  <c r="I11" i="1"/>
  <c r="J11" i="1" s="1"/>
  <c r="K14" i="1"/>
  <c r="H15" i="1"/>
  <c r="T19" i="1" l="1"/>
  <c r="O10" i="1"/>
  <c r="P10" i="1" s="1"/>
  <c r="H14" i="1"/>
  <c r="Q15" i="1"/>
  <c r="I10" i="1"/>
  <c r="J10" i="1" s="1"/>
  <c r="N17" i="1"/>
  <c r="F10" i="1"/>
  <c r="G10" i="1" s="1"/>
  <c r="K13" i="1"/>
  <c r="T18" i="1" l="1"/>
  <c r="Q14" i="1"/>
  <c r="O9" i="1"/>
  <c r="P9" i="1" s="1"/>
  <c r="F9" i="1"/>
  <c r="G9" i="1" s="1"/>
  <c r="H13" i="1"/>
  <c r="N16" i="1"/>
  <c r="I9" i="1"/>
  <c r="J9" i="1" s="1"/>
  <c r="K12" i="1"/>
  <c r="T17" i="1" l="1"/>
  <c r="Q13" i="1"/>
  <c r="F8" i="1"/>
  <c r="G8" i="1" s="1"/>
  <c r="H12" i="1"/>
  <c r="N15" i="1"/>
  <c r="K11" i="1"/>
  <c r="I8" i="1"/>
  <c r="J8" i="1" s="1"/>
  <c r="T16" i="1" l="1"/>
  <c r="Q12" i="1"/>
  <c r="H11" i="1"/>
  <c r="K10" i="1"/>
  <c r="I7" i="1"/>
  <c r="J7" i="1" s="1"/>
  <c r="N14" i="1"/>
  <c r="T15" i="1" l="1"/>
  <c r="K9" i="1"/>
  <c r="Q11" i="1"/>
  <c r="H10" i="1"/>
  <c r="N13" i="1"/>
  <c r="T14" i="1" l="1"/>
  <c r="T13" i="1"/>
  <c r="N12" i="1"/>
  <c r="K8" i="1"/>
  <c r="H9" i="1"/>
  <c r="Q10" i="1"/>
  <c r="Q9" i="1"/>
  <c r="H8" i="1"/>
  <c r="N11" i="1"/>
  <c r="K7" i="1"/>
</calcChain>
</file>

<file path=xl/comments1.xml><?xml version="1.0" encoding="utf-8"?>
<comments xmlns="http://schemas.openxmlformats.org/spreadsheetml/2006/main">
  <authors>
    <author>v-jakant</author>
  </authors>
  <commentList>
    <comment ref="I37" authorId="0" shapeId="0">
      <text>
        <r>
          <rPr>
            <b/>
            <sz val="8"/>
            <color indexed="81"/>
            <rFont val="Tahoma"/>
            <family val="2"/>
          </rPr>
          <t>Though these are negative, I set the display without the minus sign so they appear thus on the chart. (Beats are not perceived as negative)</t>
        </r>
      </text>
    </comment>
  </commentList>
</comments>
</file>

<file path=xl/sharedStrings.xml><?xml version="1.0" encoding="utf-8"?>
<sst xmlns="http://schemas.openxmlformats.org/spreadsheetml/2006/main" count="400" uniqueCount="231">
  <si>
    <t>C</t>
  </si>
  <si>
    <t>B</t>
  </si>
  <si>
    <t>A#</t>
  </si>
  <si>
    <t>A</t>
  </si>
  <si>
    <t>G#</t>
  </si>
  <si>
    <t>G</t>
  </si>
  <si>
    <t>F#</t>
  </si>
  <si>
    <t>F</t>
  </si>
  <si>
    <t>E</t>
  </si>
  <si>
    <t>D#</t>
  </si>
  <si>
    <t>D</t>
  </si>
  <si>
    <t>C#</t>
  </si>
  <si>
    <t>Corrected fund</t>
  </si>
  <si>
    <t>Just M3</t>
  </si>
  <si>
    <t>M3c</t>
  </si>
  <si>
    <t>M3b</t>
  </si>
  <si>
    <t>m3c</t>
  </si>
  <si>
    <t>m3b</t>
  </si>
  <si>
    <t>5c</t>
  </si>
  <si>
    <t>5b</t>
  </si>
  <si>
    <t>Fundamental (ET)</t>
  </si>
  <si>
    <t>Note</t>
  </si>
  <si>
    <t>Constants</t>
  </si>
  <si>
    <t>1#</t>
  </si>
  <si>
    <t>1</t>
  </si>
  <si>
    <t>2</t>
  </si>
  <si>
    <t>2#</t>
  </si>
  <si>
    <t>3</t>
  </si>
  <si>
    <t>4</t>
  </si>
  <si>
    <t>4#</t>
  </si>
  <si>
    <t>5</t>
  </si>
  <si>
    <t>multiplier:</t>
  </si>
  <si>
    <t>continuing the series above…</t>
  </si>
  <si>
    <t>5#</t>
  </si>
  <si>
    <t>6</t>
  </si>
  <si>
    <t>6#</t>
  </si>
  <si>
    <t>7</t>
  </si>
  <si>
    <t>8</t>
  </si>
  <si>
    <t>&lt;--check!</t>
  </si>
  <si>
    <t>offsets</t>
  </si>
  <si>
    <t>The ET will be modified by the twelve offsets in the ChartData sheet</t>
  </si>
  <si>
    <t>The Just M3 is the basis for assessing the sizes of the M3</t>
  </si>
  <si>
    <t>Beats of the 5th partial of the lower vs the 4th partial of the upper</t>
  </si>
  <si>
    <t>Just m3</t>
  </si>
  <si>
    <t>Just 5th</t>
  </si>
  <si>
    <t>The Just m3 is the basis for assessing the sizes of the m3</t>
  </si>
  <si>
    <t>Beats of the 6th partial of the lower vs the 5th partial of the upper</t>
  </si>
  <si>
    <t>The Just 5th is the basis for assessing the sizes of the fifths</t>
  </si>
  <si>
    <t>Beats of the 3rd partial of the lower vs the 2nd partial of the upper</t>
  </si>
  <si>
    <t>Major Triads</t>
  </si>
  <si>
    <t>CEG</t>
  </si>
  <si>
    <t>GBD</t>
  </si>
  <si>
    <t>DF#A</t>
  </si>
  <si>
    <t>AC#E</t>
  </si>
  <si>
    <t>EG#B</t>
  </si>
  <si>
    <t>BD#F#</t>
  </si>
  <si>
    <t>F#A#C#</t>
  </si>
  <si>
    <t>C#FG#</t>
  </si>
  <si>
    <t>AbCEb</t>
  </si>
  <si>
    <t>EbGBb</t>
  </si>
  <si>
    <t>BbDF</t>
  </si>
  <si>
    <t>FAC</t>
  </si>
  <si>
    <t>C3-E3-G3</t>
  </si>
  <si>
    <t>D3-F#3-A3</t>
  </si>
  <si>
    <t>E3-G#3-B3</t>
  </si>
  <si>
    <t>C#3-F3-G#3</t>
  </si>
  <si>
    <t>Eb3-G3-Bb3</t>
  </si>
  <si>
    <t>C4-E4-G4</t>
  </si>
  <si>
    <r>
      <t>G3-B3-</t>
    </r>
    <r>
      <rPr>
        <sz val="8"/>
        <color theme="9" tint="-0.249977111117893"/>
        <rFont val="Verdana"/>
        <family val="2"/>
      </rPr>
      <t>D4</t>
    </r>
  </si>
  <si>
    <r>
      <t>A3-</t>
    </r>
    <r>
      <rPr>
        <sz val="8"/>
        <color theme="9" tint="-0.249977111117893"/>
        <rFont val="Verdana"/>
        <family val="2"/>
      </rPr>
      <t>C#4-E4</t>
    </r>
  </si>
  <si>
    <r>
      <t>B3-</t>
    </r>
    <r>
      <rPr>
        <sz val="8"/>
        <color theme="9" tint="-0.249977111117893"/>
        <rFont val="Verdana"/>
        <family val="2"/>
      </rPr>
      <t>D#4-F#4</t>
    </r>
  </si>
  <si>
    <r>
      <t>F#3-A#3-</t>
    </r>
    <r>
      <rPr>
        <sz val="8"/>
        <color theme="9" tint="-0.249977111117893"/>
        <rFont val="Verdana"/>
        <family val="2"/>
      </rPr>
      <t>C#4</t>
    </r>
  </si>
  <si>
    <r>
      <t>Ab3-</t>
    </r>
    <r>
      <rPr>
        <sz val="8"/>
        <color theme="9" tint="-0.249977111117893"/>
        <rFont val="Verdana"/>
        <family val="2"/>
      </rPr>
      <t>C4-Eb4</t>
    </r>
  </si>
  <si>
    <r>
      <t>Bb3-</t>
    </r>
    <r>
      <rPr>
        <sz val="8"/>
        <color theme="9" tint="-0.249977111117893"/>
        <rFont val="Verdana"/>
        <family val="2"/>
      </rPr>
      <t>D4-F4</t>
    </r>
  </si>
  <si>
    <r>
      <t>F3-A3-</t>
    </r>
    <r>
      <rPr>
        <sz val="8"/>
        <color theme="9" tint="-0.249977111117893"/>
        <rFont val="Verdana"/>
        <family val="2"/>
      </rPr>
      <t>C4</t>
    </r>
  </si>
  <si>
    <t>SourceNotes</t>
  </si>
  <si>
    <t>Tonic</t>
  </si>
  <si>
    <t xml:space="preserve">M3 ¢ </t>
  </si>
  <si>
    <t>M3 bps</t>
  </si>
  <si>
    <t>m3 ¢</t>
  </si>
  <si>
    <t>m3 bps</t>
  </si>
  <si>
    <t>5th ¢</t>
  </si>
  <si>
    <t>5th bps</t>
  </si>
  <si>
    <t>Minor Triads</t>
  </si>
  <si>
    <t>=(5/4)*cfund</t>
  </si>
  <si>
    <t>=(6/5)*cfund</t>
  </si>
  <si>
    <t>=(3/2)*cfund</t>
  </si>
  <si>
    <t>M3 ¢</t>
  </si>
  <si>
    <t>name: cfund</t>
  </si>
  <si>
    <t>Pythagorean Major 3rd</t>
  </si>
  <si>
    <t>E.T. Major 3rd</t>
  </si>
  <si>
    <t>Just</t>
  </si>
  <si>
    <t>E.T. minor 3rd</t>
  </si>
  <si>
    <t>Pythagorean minor 3rd</t>
  </si>
  <si>
    <t>C Maj</t>
  </si>
  <si>
    <t>G Maj</t>
  </si>
  <si>
    <t>D Maj</t>
  </si>
  <si>
    <t>A Maj</t>
  </si>
  <si>
    <t>E Maj</t>
  </si>
  <si>
    <t>B Maj</t>
  </si>
  <si>
    <t>F# Maj</t>
  </si>
  <si>
    <t>C# Maj</t>
  </si>
  <si>
    <t>Ab Maj</t>
  </si>
  <si>
    <t>Eb Maj</t>
  </si>
  <si>
    <t>Bb Maj</t>
  </si>
  <si>
    <t>F Maj</t>
  </si>
  <si>
    <t>Smallest M3</t>
  </si>
  <si>
    <t>Largest M3</t>
  </si>
  <si>
    <t>Rearranging chart data for easier linking.</t>
  </si>
  <si>
    <t>MAJOR</t>
  </si>
  <si>
    <t>C4</t>
  </si>
  <si>
    <t>The Just 4th is the basis for assessing the sizes of the fourths</t>
  </si>
  <si>
    <t>=(4/3)*cfund</t>
  </si>
  <si>
    <t>Just 4th</t>
  </si>
  <si>
    <t>4c</t>
  </si>
  <si>
    <t>Beats of the 4th partial of the lower vs the 3rd partial of the upper</t>
  </si>
  <si>
    <t>4b</t>
  </si>
  <si>
    <t>by formula =2^(1/12)</t>
  </si>
  <si>
    <t>octave:</t>
  </si>
  <si>
    <t>E.T. Fifth</t>
  </si>
  <si>
    <t>C min</t>
  </si>
  <si>
    <t>G min</t>
  </si>
  <si>
    <t>D min</t>
  </si>
  <si>
    <t>A min</t>
  </si>
  <si>
    <t>E min</t>
  </si>
  <si>
    <t>B min</t>
  </si>
  <si>
    <t>F min</t>
  </si>
  <si>
    <t>not shown on chart:</t>
  </si>
  <si>
    <t>C3-Eb3-G3</t>
  </si>
  <si>
    <r>
      <t>G3-Bb3-</t>
    </r>
    <r>
      <rPr>
        <sz val="8"/>
        <color theme="9" tint="-0.249977111117893"/>
        <rFont val="Verdana"/>
        <family val="2"/>
      </rPr>
      <t>D4</t>
    </r>
  </si>
  <si>
    <t>D3-F3-A3</t>
  </si>
  <si>
    <r>
      <t>A3-</t>
    </r>
    <r>
      <rPr>
        <sz val="8"/>
        <color theme="9" tint="-0.249977111117893"/>
        <rFont val="Verdana"/>
        <family val="2"/>
      </rPr>
      <t>C4-E4</t>
    </r>
  </si>
  <si>
    <t>E3-G3-B3</t>
  </si>
  <si>
    <r>
      <t>B3-</t>
    </r>
    <r>
      <rPr>
        <sz val="8"/>
        <color theme="9" tint="-0.249977111117893"/>
        <rFont val="Verdana"/>
        <family val="2"/>
      </rPr>
      <t>D4-F#4</t>
    </r>
  </si>
  <si>
    <r>
      <t>F#3-A3-</t>
    </r>
    <r>
      <rPr>
        <sz val="8"/>
        <color theme="9" tint="-0.249977111117893"/>
        <rFont val="Verdana"/>
        <family val="2"/>
      </rPr>
      <t>C#4</t>
    </r>
  </si>
  <si>
    <t>C#3-E3-G#3</t>
  </si>
  <si>
    <r>
      <t>Ab3-B3</t>
    </r>
    <r>
      <rPr>
        <sz val="8"/>
        <color theme="9" tint="-0.249977111117893"/>
        <rFont val="Verdana"/>
        <family val="2"/>
      </rPr>
      <t>-Eb4</t>
    </r>
  </si>
  <si>
    <t>Eb3-Gb3-Bb3</t>
  </si>
  <si>
    <r>
      <t>Bb3-</t>
    </r>
    <r>
      <rPr>
        <sz val="8"/>
        <color theme="9" tint="-0.249977111117893"/>
        <rFont val="Verdana"/>
        <family val="2"/>
      </rPr>
      <t>Db4-F4</t>
    </r>
  </si>
  <si>
    <r>
      <t>F3-Ab3-</t>
    </r>
    <r>
      <rPr>
        <sz val="8"/>
        <color theme="9" tint="-0.249977111117893"/>
        <rFont val="Verdana"/>
        <family val="2"/>
      </rPr>
      <t>C4</t>
    </r>
  </si>
  <si>
    <t>C4-Eb4-G4</t>
  </si>
  <si>
    <t>CEbG</t>
  </si>
  <si>
    <t>GBbD</t>
  </si>
  <si>
    <t>DFA</t>
  </si>
  <si>
    <t>ACE</t>
  </si>
  <si>
    <t>EGB</t>
  </si>
  <si>
    <t>BDF#</t>
  </si>
  <si>
    <t>F#AC#</t>
  </si>
  <si>
    <t>C#EG#</t>
  </si>
  <si>
    <t>AbBEb</t>
  </si>
  <si>
    <t>EbGbBb</t>
  </si>
  <si>
    <t>BbDbF</t>
  </si>
  <si>
    <t>FAbC</t>
  </si>
  <si>
    <r>
      <t xml:space="preserve">Offset from ET </t>
    </r>
    <r>
      <rPr>
        <b/>
        <sz val="10"/>
        <rFont val="Arial Unicode MS"/>
        <family val="2"/>
      </rPr>
      <t>➤</t>
    </r>
  </si>
  <si>
    <t>minor triads</t>
  </si>
  <si>
    <t>MAJOR TRIADS</t>
  </si>
  <si>
    <r>
      <t>F</t>
    </r>
    <r>
      <rPr>
        <b/>
        <sz val="10"/>
        <rFont val="Arial Unicode MS"/>
        <family val="2"/>
      </rPr>
      <t>♯</t>
    </r>
    <r>
      <rPr>
        <b/>
        <sz val="10"/>
        <rFont val="Articulate Narrow"/>
      </rPr>
      <t xml:space="preserve"> Maj</t>
    </r>
  </si>
  <si>
    <r>
      <t>C</t>
    </r>
    <r>
      <rPr>
        <b/>
        <sz val="10"/>
        <rFont val="Arial Unicode MS"/>
        <family val="2"/>
      </rPr>
      <t>♯</t>
    </r>
    <r>
      <rPr>
        <b/>
        <sz val="10"/>
        <rFont val="Articulate Narrow"/>
      </rPr>
      <t xml:space="preserve"> Maj</t>
    </r>
  </si>
  <si>
    <r>
      <t>A</t>
    </r>
    <r>
      <rPr>
        <b/>
        <sz val="10"/>
        <rFont val="Arial Unicode MS"/>
        <family val="2"/>
      </rPr>
      <t>♭</t>
    </r>
    <r>
      <rPr>
        <b/>
        <sz val="10"/>
        <rFont val="Articulate Narrow"/>
      </rPr>
      <t xml:space="preserve"> Maj</t>
    </r>
  </si>
  <si>
    <r>
      <t>E</t>
    </r>
    <r>
      <rPr>
        <b/>
        <sz val="10"/>
        <rFont val="Arial Unicode MS"/>
        <family val="2"/>
      </rPr>
      <t>♭</t>
    </r>
    <r>
      <rPr>
        <b/>
        <sz val="10"/>
        <rFont val="Articulate Narrow"/>
      </rPr>
      <t xml:space="preserve"> Maj</t>
    </r>
  </si>
  <si>
    <r>
      <t>B</t>
    </r>
    <r>
      <rPr>
        <b/>
        <sz val="10"/>
        <rFont val="Arial Unicode MS"/>
        <family val="2"/>
      </rPr>
      <t>♭</t>
    </r>
    <r>
      <rPr>
        <b/>
        <sz val="10"/>
        <rFont val="Articulate Narrow"/>
      </rPr>
      <t xml:space="preserve"> Maj</t>
    </r>
  </si>
  <si>
    <r>
      <t>F</t>
    </r>
    <r>
      <rPr>
        <b/>
        <sz val="10"/>
        <rFont val="Arial Unicode MS"/>
        <family val="2"/>
      </rPr>
      <t>♯</t>
    </r>
    <r>
      <rPr>
        <b/>
        <sz val="10"/>
        <rFont val="Articulate Narrow"/>
      </rPr>
      <t xml:space="preserve"> min</t>
    </r>
  </si>
  <si>
    <r>
      <t>C</t>
    </r>
    <r>
      <rPr>
        <b/>
        <sz val="10"/>
        <rFont val="Arial Unicode MS"/>
        <family val="2"/>
      </rPr>
      <t>♯</t>
    </r>
    <r>
      <rPr>
        <b/>
        <sz val="10"/>
        <rFont val="Articulate Narrow"/>
      </rPr>
      <t xml:space="preserve"> min</t>
    </r>
  </si>
  <si>
    <r>
      <t>G</t>
    </r>
    <r>
      <rPr>
        <b/>
        <sz val="10"/>
        <rFont val="Arial Unicode MS"/>
        <family val="2"/>
      </rPr>
      <t>♯</t>
    </r>
    <r>
      <rPr>
        <b/>
        <sz val="10"/>
        <rFont val="Articulate Narrow"/>
      </rPr>
      <t xml:space="preserve"> min</t>
    </r>
  </si>
  <si>
    <r>
      <t>D</t>
    </r>
    <r>
      <rPr>
        <b/>
        <sz val="10"/>
        <rFont val="Arial Unicode MS"/>
        <family val="2"/>
      </rPr>
      <t>♯</t>
    </r>
    <r>
      <rPr>
        <b/>
        <sz val="10"/>
        <rFont val="Articulate Narrow"/>
      </rPr>
      <t xml:space="preserve"> min</t>
    </r>
  </si>
  <si>
    <r>
      <t>A</t>
    </r>
    <r>
      <rPr>
        <b/>
        <sz val="10"/>
        <rFont val="Arial Unicode MS"/>
        <family val="2"/>
      </rPr>
      <t>♯</t>
    </r>
    <r>
      <rPr>
        <b/>
        <sz val="10"/>
        <rFont val="Articulate Narrow"/>
      </rPr>
      <t xml:space="preserve"> min</t>
    </r>
  </si>
  <si>
    <r>
      <t>Offset to equalize tension</t>
    </r>
    <r>
      <rPr>
        <sz val="9"/>
        <rFont val="Arial Unicode MS"/>
        <family val="2"/>
      </rPr>
      <t>➤</t>
    </r>
  </si>
  <si>
    <t>Offset from ET ➤</t>
  </si>
  <si>
    <t>C3</t>
  </si>
  <si>
    <t>Ab</t>
  </si>
  <si>
    <t>Eb</t>
  </si>
  <si>
    <t>Bb</t>
  </si>
  <si>
    <t>MINOR</t>
  </si>
  <si>
    <t>M6c</t>
  </si>
  <si>
    <t>M6b</t>
  </si>
  <si>
    <t>Size in cents of the M6 on this note</t>
  </si>
  <si>
    <t>Beats of the 5th partial of the lower vs the 3rd partial of the upper</t>
  </si>
  <si>
    <t>Just M6</t>
  </si>
  <si>
    <t>The Just M6 is the basis for assessing the sizes of the M6</t>
  </si>
  <si>
    <t>=(5/3)*cfund</t>
  </si>
  <si>
    <t>We build an "ET" scale up and down from A4=440</t>
  </si>
  <si>
    <t xml:space="preserve">This sheet does not include any inharmonicity calculations. </t>
  </si>
  <si>
    <t>Offset (cents)</t>
  </si>
  <si>
    <t>The corrected fundamental is calculated by '=fundamental*
(cent^offset)</t>
  </si>
  <si>
    <t>Size in cents of the M3 on this note</t>
  </si>
  <si>
    <t>Size in cents of the m3 on this note</t>
  </si>
  <si>
    <t>Size in cents of the 5th on this note</t>
  </si>
  <si>
    <t>Size in cents of the 4th on this note</t>
  </si>
  <si>
    <t>&lt;--call this the "cent"</t>
  </si>
  <si>
    <t>Test the cent:</t>
  </si>
  <si>
    <t>From the 5 to the 5# is 100 cents, or =150.00*(cent^100)</t>
  </si>
  <si>
    <t>&lt;--call this the "semitone"</t>
  </si>
  <si>
    <t>&lt;--call this the "octave"</t>
  </si>
  <si>
    <t>So the cent multiplier is =octave^(1/1200)</t>
  </si>
  <si>
    <t>Try these:</t>
  </si>
  <si>
    <t>Triads arranged around the circle of fifths.
Vertical scale of +/- 25 cents - adequate for all but meantone temperaments.
Red = M3. Blue = Fifth. Green = m3.</t>
  </si>
  <si>
    <t>Columns represents cents away from just. 
Numbers represent beats per second in region C3-C4.</t>
  </si>
  <si>
    <t>Triads arranged around the circle of fifths.
Vertical scale of +50 to -55 cents - good for displaying meantone temperaments.
Red = M3. Blue = Fifth. Green = m3.</t>
  </si>
  <si>
    <t>Title of chart:</t>
  </si>
  <si>
    <t>Roshan Kakiya's Well Temperament</t>
  </si>
  <si>
    <t>1/4 Syntonic Meantone</t>
  </si>
  <si>
    <t>Barnes "Bach" (1979) - 1/6 PC</t>
  </si>
  <si>
    <t xml:space="preserve">C  </t>
  </si>
  <si>
    <t xml:space="preserve">D  </t>
  </si>
  <si>
    <t xml:space="preserve">E  </t>
  </si>
  <si>
    <t xml:space="preserve">F  </t>
  </si>
  <si>
    <t xml:space="preserve">G  </t>
  </si>
  <si>
    <t xml:space="preserve">A  </t>
  </si>
  <si>
    <t xml:space="preserve">B  </t>
  </si>
  <si>
    <t>Bremmer's EBVT2</t>
  </si>
  <si>
    <t>Coleman 11 (Modern Well, 1999)</t>
  </si>
  <si>
    <t>Dr. Herbert Anton Kellner (Wohltemperirt/Bach, 1978)</t>
  </si>
  <si>
    <t>EBVT III</t>
  </si>
  <si>
    <t>Equal Beating Koval (EBK) (2002)</t>
  </si>
  <si>
    <t>Francesco Antonio Vallotti (Well, 1781)</t>
  </si>
  <si>
    <t>Johann Philipp Kirnberger (Equal-Beating Well, 1771)</t>
  </si>
  <si>
    <t>Koval Variable Well 1.5</t>
  </si>
  <si>
    <t>Stanhope (Improved Kirnberger Equal-Beating Well, 1806)</t>
  </si>
  <si>
    <t>Wendell Synchronous ET Equivalent, 2002</t>
  </si>
  <si>
    <t>Werckmeister III (Well, 1691)</t>
  </si>
  <si>
    <t>Roshan Kakiya's Practical Just Intonation (Alternative Tritone)</t>
  </si>
  <si>
    <t>Below: Extracting chart data from Panoply.</t>
  </si>
  <si>
    <t>This Excel workbook is protected.</t>
  </si>
  <si>
    <t>The data (the twelve offsets and the title) are used in the "Panoply" sheet to calculate all the cents and beat rates.</t>
  </si>
  <si>
    <t>The four mini-graphs change in real time as you modify the offsets.</t>
  </si>
  <si>
    <t>Enter your own experiments below:</t>
  </si>
  <si>
    <t>Chart data</t>
  </si>
  <si>
    <t>They have larger versions with data on the two chart pages following.</t>
  </si>
  <si>
    <t>Actually you can enter your own data here in the green cells.</t>
  </si>
  <si>
    <t>You can change only the offsets in the outlined-in-blue blue cells below, and green cells to the right.</t>
  </si>
  <si>
    <t>This Excel workbook designed by Jason Kanter and used to create charts on rollingball.com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</si>
</sst>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"/>
    <numFmt numFmtId="165" formatCode="0.00000000000000"/>
    <numFmt numFmtId="166" formatCode="0.000000000000000"/>
    <numFmt numFmtId="167" formatCode="0.00000000000000000"/>
    <numFmt numFmtId="168" formatCode="0.0"/>
    <numFmt numFmtId="169" formatCode="0.0000000000000000000000000000000"/>
    <numFmt numFmtId="170" formatCode="0.0_);\(0.0\)"/>
    <numFmt numFmtId="171" formatCode="0.0;0.0;0.0"/>
    <numFmt numFmtId="172" formatCode="\+0.00;\-0.00;0.00"/>
    <numFmt numFmtId="173" formatCode="\+0.0;\-0.0"/>
  </numFmts>
  <fonts count="67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3"/>
      <name val="Verdana"/>
      <family val="2"/>
    </font>
    <font>
      <sz val="10"/>
      <name val="Verdana"/>
      <family val="2"/>
    </font>
    <font>
      <b/>
      <sz val="8"/>
      <color theme="3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rgb="FFC00000"/>
      <name val="Verdana"/>
      <family val="2"/>
    </font>
    <font>
      <b/>
      <i/>
      <sz val="10"/>
      <color theme="1"/>
      <name val="Verdana"/>
      <family val="2"/>
    </font>
    <font>
      <i/>
      <sz val="10"/>
      <color theme="8" tint="-0.249977111117893"/>
      <name val="Verdana"/>
      <family val="2"/>
    </font>
    <font>
      <b/>
      <sz val="15"/>
      <color theme="3"/>
      <name val="Verdana"/>
      <family val="2"/>
    </font>
    <font>
      <sz val="8"/>
      <color theme="9" tint="-0.249977111117893"/>
      <name val="Verdana"/>
      <family val="2"/>
    </font>
    <font>
      <b/>
      <sz val="8"/>
      <color indexed="81"/>
      <name val="Tahoma"/>
      <family val="2"/>
    </font>
    <font>
      <b/>
      <sz val="8"/>
      <color rgb="FFC00000"/>
      <name val="Arial Narrow"/>
      <family val="2"/>
    </font>
    <font>
      <b/>
      <sz val="8"/>
      <color rgb="FF009900"/>
      <name val="Arial Narrow"/>
      <family val="2"/>
    </font>
    <font>
      <b/>
      <sz val="8"/>
      <color rgb="FF00B0F0"/>
      <name val="Arial Narrow"/>
      <family val="2"/>
    </font>
    <font>
      <b/>
      <i/>
      <sz val="8"/>
      <color theme="1"/>
      <name val="Verdana"/>
      <family val="2"/>
    </font>
    <font>
      <b/>
      <sz val="10"/>
      <color indexed="18"/>
      <name val="Verdana"/>
      <family val="2"/>
    </font>
    <font>
      <sz val="10"/>
      <name val="Articulate Narrow"/>
    </font>
    <font>
      <b/>
      <sz val="8"/>
      <name val="Articulate Narrow"/>
    </font>
    <font>
      <sz val="8"/>
      <name val="Articulate Narrow"/>
    </font>
    <font>
      <sz val="8"/>
      <color rgb="FFC00000"/>
      <name val="Articulate Narrow"/>
    </font>
    <font>
      <sz val="8"/>
      <color rgb="FF009900"/>
      <name val="Articulate Narrow"/>
    </font>
    <font>
      <sz val="8"/>
      <color rgb="FF00B0F0"/>
      <name val="Articulate Narrow"/>
    </font>
    <font>
      <i/>
      <sz val="8"/>
      <name val="Articulate Narrow"/>
    </font>
    <font>
      <sz val="8"/>
      <color rgb="FF0070C0"/>
      <name val="Articulate Narrow"/>
    </font>
    <font>
      <b/>
      <sz val="10"/>
      <name val="Articulate Narrow"/>
    </font>
    <font>
      <b/>
      <sz val="10"/>
      <color rgb="FFC00000"/>
      <name val="Articulate Narrow"/>
    </font>
    <font>
      <sz val="10"/>
      <color rgb="FFC00000"/>
      <name val="Articulate Narrow"/>
    </font>
    <font>
      <b/>
      <sz val="10"/>
      <color rgb="FF009900"/>
      <name val="Articulate Narrow"/>
    </font>
    <font>
      <sz val="10"/>
      <color rgb="FF009900"/>
      <name val="Articulate Narrow"/>
    </font>
    <font>
      <b/>
      <sz val="10"/>
      <color rgb="FF0070C0"/>
      <name val="Articulate Narrow"/>
    </font>
    <font>
      <sz val="10"/>
      <color rgb="FF0070C0"/>
      <name val="Articulate Narrow"/>
    </font>
    <font>
      <b/>
      <sz val="10"/>
      <color rgb="FF00B0F0"/>
      <name val="Articulate Narrow"/>
    </font>
    <font>
      <sz val="10"/>
      <color rgb="FF00B0F0"/>
      <name val="Articulate Narrow"/>
    </font>
    <font>
      <sz val="8"/>
      <color rgb="FFFF0000"/>
      <name val="Articulate Narrow"/>
    </font>
    <font>
      <sz val="8"/>
      <color theme="4"/>
      <name val="Articulate Narrow"/>
    </font>
    <font>
      <sz val="8"/>
      <color rgb="FF00B050"/>
      <name val="Articulate Narrow"/>
    </font>
    <font>
      <b/>
      <u/>
      <sz val="10"/>
      <name val="Articulate Narrow"/>
    </font>
    <font>
      <b/>
      <sz val="12"/>
      <color rgb="FFFF0000"/>
      <name val="Articulate"/>
    </font>
    <font>
      <b/>
      <sz val="12"/>
      <color rgb="FF009900"/>
      <name val="Articulate"/>
    </font>
    <font>
      <sz val="10"/>
      <name val="Arial Unicode MS"/>
      <family val="2"/>
    </font>
    <font>
      <b/>
      <sz val="10"/>
      <name val="Arial Unicode MS"/>
      <family val="2"/>
    </font>
    <font>
      <sz val="9"/>
      <name val="Articulate Narrow"/>
    </font>
    <font>
      <sz val="9"/>
      <name val="Arial Unicode MS"/>
      <family val="2"/>
    </font>
    <font>
      <sz val="16"/>
      <color rgb="FFFF0000"/>
      <name val="Articulate Extrabold"/>
    </font>
    <font>
      <sz val="16"/>
      <color rgb="FF00B050"/>
      <name val="Articulate Extrabold"/>
    </font>
    <font>
      <sz val="8"/>
      <color theme="1"/>
      <name val="Calibri"/>
      <family val="2"/>
      <scheme val="minor"/>
    </font>
    <font>
      <sz val="8"/>
      <color theme="3" tint="0.39997558519241921"/>
      <name val="Articulate Narrow"/>
    </font>
    <font>
      <sz val="10"/>
      <color theme="3" tint="0.39997558519241921"/>
      <name val="Articulate Narrow"/>
    </font>
    <font>
      <sz val="8"/>
      <color rgb="FF92D050"/>
      <name val="Articulate Narrow"/>
    </font>
    <font>
      <sz val="10"/>
      <color rgb="FF92D050"/>
      <name val="Articulate Narrow"/>
    </font>
    <font>
      <b/>
      <sz val="11"/>
      <name val="Articulate Narrow"/>
    </font>
    <font>
      <sz val="7"/>
      <name val="Arial Narrow"/>
      <family val="2"/>
    </font>
    <font>
      <sz val="7"/>
      <name val="Articulate Narrow"/>
    </font>
    <font>
      <sz val="7"/>
      <color rgb="FF009900"/>
      <name val="Articulate Narrow"/>
    </font>
    <font>
      <sz val="7"/>
      <color rgb="FFC00000"/>
      <name val="Articulate Narrow"/>
    </font>
    <font>
      <sz val="8"/>
      <color rgb="FFFF0000"/>
      <name val="Verdana"/>
      <family val="2"/>
    </font>
    <font>
      <sz val="12"/>
      <color rgb="FF222222"/>
      <name val="Arial"/>
      <family val="2"/>
    </font>
    <font>
      <b/>
      <sz val="8"/>
      <color rgb="FFFF0000"/>
      <name val="Verdana"/>
      <family val="2"/>
    </font>
    <font>
      <sz val="14"/>
      <name val="Articulate Narrow"/>
    </font>
    <font>
      <sz val="16"/>
      <name val="Articulate Narrow"/>
    </font>
    <font>
      <b/>
      <sz val="11"/>
      <name val="Verdana"/>
      <family val="2"/>
    </font>
    <font>
      <i/>
      <sz val="8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5F5FF"/>
        <bgColor indexed="64"/>
      </patternFill>
    </fill>
    <fill>
      <patternFill patternType="solid">
        <fgColor rgb="FFDCDCFF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rgb="FFFF0000"/>
      </bottom>
      <diagonal/>
    </border>
    <border>
      <left/>
      <right/>
      <top style="hair">
        <color theme="1"/>
      </top>
      <bottom style="hair">
        <color theme="8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00B050"/>
      </top>
      <bottom style="hair">
        <color rgb="FF00B050"/>
      </bottom>
      <diagonal/>
    </border>
  </borders>
  <cellStyleXfs count="9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13" fillId="0" borderId="11" applyNumberFormat="0" applyFill="0" applyAlignment="0" applyProtection="0"/>
    <xf numFmtId="0" fontId="6" fillId="0" borderId="0">
      <alignment horizontal="center" vertical="center"/>
    </xf>
    <xf numFmtId="0" fontId="20" fillId="4" borderId="10">
      <alignment vertical="center" wrapText="1"/>
      <protection locked="0"/>
    </xf>
    <xf numFmtId="0" fontId="1" fillId="0" borderId="0"/>
    <xf numFmtId="172" fontId="29" fillId="5" borderId="0">
      <alignment horizontal="right" vertical="top" shrinkToFit="1"/>
    </xf>
    <xf numFmtId="0" fontId="50" fillId="0" borderId="0"/>
  </cellStyleXfs>
  <cellXfs count="317">
    <xf numFmtId="0" fontId="0" fillId="0" borderId="0" xfId="0"/>
    <xf numFmtId="0" fontId="0" fillId="0" borderId="0" xfId="0" applyAlignment="1">
      <alignment vertical="center"/>
    </xf>
    <xf numFmtId="0" fontId="4" fillId="0" borderId="1" xfId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2" borderId="0" xfId="0" applyFont="1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right" vertical="center" wrapText="1"/>
    </xf>
    <xf numFmtId="0" fontId="0" fillId="2" borderId="5" xfId="0" applyFill="1" applyBorder="1" applyAlignment="1">
      <alignment vertical="center" wrapText="1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0" xfId="0" quotePrefix="1" applyFill="1" applyBorder="1" applyAlignment="1">
      <alignment horizontal="center" vertical="center"/>
    </xf>
    <xf numFmtId="165" fontId="0" fillId="2" borderId="0" xfId="0" applyNumberFormat="1" applyFill="1" applyBorder="1" applyAlignment="1">
      <alignment vertical="center"/>
    </xf>
    <xf numFmtId="165" fontId="0" fillId="2" borderId="10" xfId="0" applyNumberFormat="1" applyFill="1" applyBorder="1" applyAlignment="1">
      <alignment horizontal="center" vertical="center"/>
    </xf>
    <xf numFmtId="169" fontId="0" fillId="2" borderId="9" xfId="0" applyNumberFormat="1" applyFill="1" applyBorder="1" applyAlignment="1">
      <alignment vertical="center"/>
    </xf>
    <xf numFmtId="169" fontId="0" fillId="0" borderId="0" xfId="0" applyNumberFormat="1" applyAlignment="1">
      <alignment vertical="center"/>
    </xf>
    <xf numFmtId="0" fontId="9" fillId="2" borderId="0" xfId="0" applyFont="1" applyFill="1" applyBorder="1" applyAlignment="1">
      <alignment vertical="center"/>
    </xf>
    <xf numFmtId="167" fontId="9" fillId="2" borderId="9" xfId="0" applyNumberFormat="1" applyFont="1" applyFill="1" applyBorder="1" applyAlignment="1">
      <alignment vertical="center"/>
    </xf>
    <xf numFmtId="0" fontId="0" fillId="2" borderId="9" xfId="0" quotePrefix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9" fontId="0" fillId="2" borderId="8" xfId="0" applyNumberFormat="1" applyFill="1" applyBorder="1" applyAlignment="1">
      <alignment vertical="center"/>
    </xf>
    <xf numFmtId="166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8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13" fillId="0" borderId="11" xfId="3" applyAlignment="1">
      <alignment vertical="center"/>
    </xf>
    <xf numFmtId="0" fontId="5" fillId="3" borderId="0" xfId="0" applyFont="1" applyFill="1" applyAlignment="1">
      <alignment vertical="center"/>
    </xf>
    <xf numFmtId="0" fontId="21" fillId="5" borderId="0" xfId="4" applyFont="1" applyFill="1" applyBorder="1" applyAlignment="1">
      <alignment horizontal="center" vertical="center"/>
    </xf>
    <xf numFmtId="172" fontId="31" fillId="5" borderId="0" xfId="4" applyNumberFormat="1" applyFont="1" applyFill="1" applyBorder="1" applyAlignment="1">
      <alignment horizontal="right" vertical="center" shrinkToFit="1"/>
    </xf>
    <xf numFmtId="172" fontId="33" fillId="5" borderId="0" xfId="4" applyNumberFormat="1" applyFont="1" applyFill="1" applyBorder="1" applyAlignment="1">
      <alignment horizontal="right" vertical="center" shrinkToFit="1"/>
    </xf>
    <xf numFmtId="172" fontId="33" fillId="5" borderId="0" xfId="4" applyNumberFormat="1" applyFont="1" applyFill="1" applyBorder="1" applyAlignment="1">
      <alignment horizontal="right" vertical="center"/>
    </xf>
    <xf numFmtId="172" fontId="37" fillId="5" borderId="0" xfId="4" applyNumberFormat="1" applyFont="1" applyFill="1" applyBorder="1" applyAlignment="1">
      <alignment horizontal="right" vertical="center"/>
    </xf>
    <xf numFmtId="171" fontId="31" fillId="5" borderId="0" xfId="4" applyNumberFormat="1" applyFont="1" applyFill="1" applyBorder="1" applyAlignment="1">
      <alignment horizontal="right" vertical="center"/>
    </xf>
    <xf numFmtId="171" fontId="33" fillId="5" borderId="0" xfId="4" applyNumberFormat="1" applyFont="1" applyFill="1" applyBorder="1" applyAlignment="1">
      <alignment horizontal="right" vertical="center"/>
    </xf>
    <xf numFmtId="171" fontId="37" fillId="5" borderId="0" xfId="4" applyNumberFormat="1" applyFont="1" applyFill="1" applyBorder="1" applyAlignment="1">
      <alignment horizontal="right" vertical="center"/>
    </xf>
    <xf numFmtId="172" fontId="22" fillId="5" borderId="0" xfId="4" applyNumberFormat="1" applyFont="1" applyFill="1" applyBorder="1" applyAlignment="1">
      <alignment horizontal="right" vertical="center" shrinkToFit="1"/>
    </xf>
    <xf numFmtId="172" fontId="21" fillId="6" borderId="0" xfId="4" applyNumberFormat="1" applyFont="1" applyFill="1" applyBorder="1" applyAlignment="1">
      <alignment horizontal="right" vertical="top" wrapText="1"/>
    </xf>
    <xf numFmtId="172" fontId="22" fillId="6" borderId="0" xfId="4" applyNumberFormat="1" applyFont="1" applyFill="1" applyBorder="1" applyAlignment="1">
      <alignment horizontal="right" vertical="center" shrinkToFit="1"/>
    </xf>
    <xf numFmtId="0" fontId="21" fillId="6" borderId="0" xfId="4" applyFont="1" applyFill="1" applyBorder="1">
      <alignment horizontal="center" vertical="center"/>
    </xf>
    <xf numFmtId="0" fontId="21" fillId="6" borderId="0" xfId="4" applyFont="1" applyFill="1" applyBorder="1" applyAlignment="1">
      <alignment horizontal="center" vertical="center"/>
    </xf>
    <xf numFmtId="172" fontId="30" fillId="5" borderId="0" xfId="4" applyNumberFormat="1" applyFont="1" applyFill="1" applyBorder="1" applyAlignment="1">
      <alignment horizontal="right" vertical="center" shrinkToFit="1"/>
    </xf>
    <xf numFmtId="0" fontId="21" fillId="5" borderId="0" xfId="4" applyFont="1" applyFill="1" applyBorder="1">
      <alignment horizontal="center" vertical="center"/>
    </xf>
    <xf numFmtId="0" fontId="21" fillId="5" borderId="0" xfId="4" applyFont="1" applyFill="1" applyBorder="1" applyAlignment="1"/>
    <xf numFmtId="172" fontId="29" fillId="5" borderId="0" xfId="4" applyNumberFormat="1" applyFont="1" applyFill="1" applyBorder="1" applyAlignment="1">
      <alignment horizontal="center" shrinkToFit="1"/>
    </xf>
    <xf numFmtId="172" fontId="29" fillId="5" borderId="0" xfId="4" applyNumberFormat="1" applyFont="1" applyFill="1" applyBorder="1" applyAlignment="1">
      <alignment horizontal="right"/>
    </xf>
    <xf numFmtId="172" fontId="37" fillId="5" borderId="0" xfId="4" applyNumberFormat="1" applyFont="1" applyFill="1" applyBorder="1" applyAlignment="1">
      <alignment horizontal="right" vertical="center" shrinkToFit="1"/>
    </xf>
    <xf numFmtId="171" fontId="30" fillId="5" borderId="0" xfId="4" applyNumberFormat="1" applyFont="1" applyFill="1" applyBorder="1" applyAlignment="1">
      <alignment horizontal="right" vertical="center" shrinkToFit="1"/>
    </xf>
    <xf numFmtId="171" fontId="32" fillId="5" borderId="0" xfId="4" applyNumberFormat="1" applyFont="1" applyFill="1" applyBorder="1" applyAlignment="1">
      <alignment horizontal="right" vertical="center" shrinkToFit="1"/>
    </xf>
    <xf numFmtId="171" fontId="36" fillId="5" borderId="0" xfId="4" applyNumberFormat="1" applyFont="1" applyFill="1" applyBorder="1" applyAlignment="1">
      <alignment horizontal="right" vertical="center" shrinkToFit="1"/>
    </xf>
    <xf numFmtId="172" fontId="21" fillId="5" borderId="0" xfId="4" applyNumberFormat="1" applyFont="1" applyFill="1" applyBorder="1" applyAlignment="1">
      <alignment horizontal="center" shrinkToFit="1"/>
    </xf>
    <xf numFmtId="172" fontId="46" fillId="5" borderId="0" xfId="4" applyNumberFormat="1" applyFont="1" applyFill="1" applyBorder="1" applyAlignment="1">
      <alignment horizontal="right"/>
    </xf>
    <xf numFmtId="172" fontId="29" fillId="5" borderId="0" xfId="4" applyNumberFormat="1" applyFont="1" applyFill="1" applyBorder="1" applyAlignment="1">
      <alignment horizontal="center" shrinkToFit="1"/>
    </xf>
    <xf numFmtId="0" fontId="21" fillId="8" borderId="0" xfId="4" applyFont="1" applyFill="1" applyBorder="1">
      <alignment horizontal="center" vertical="center"/>
    </xf>
    <xf numFmtId="0" fontId="21" fillId="8" borderId="0" xfId="4" applyFont="1" applyFill="1" applyBorder="1" applyAlignment="1"/>
    <xf numFmtId="172" fontId="29" fillId="8" borderId="0" xfId="4" applyNumberFormat="1" applyFont="1" applyFill="1" applyBorder="1" applyAlignment="1">
      <alignment horizontal="center" shrinkToFit="1"/>
    </xf>
    <xf numFmtId="172" fontId="21" fillId="8" borderId="0" xfId="4" applyNumberFormat="1" applyFont="1" applyFill="1" applyBorder="1" applyAlignment="1">
      <alignment horizontal="center" shrinkToFit="1"/>
    </xf>
    <xf numFmtId="172" fontId="46" fillId="8" borderId="0" xfId="4" applyNumberFormat="1" applyFont="1" applyFill="1" applyBorder="1" applyAlignment="1">
      <alignment horizontal="right"/>
    </xf>
    <xf numFmtId="172" fontId="31" fillId="8" borderId="0" xfId="4" applyNumberFormat="1" applyFont="1" applyFill="1" applyBorder="1" applyAlignment="1">
      <alignment horizontal="right" vertical="center" shrinkToFit="1"/>
    </xf>
    <xf numFmtId="172" fontId="30" fillId="8" borderId="0" xfId="4" applyNumberFormat="1" applyFont="1" applyFill="1" applyBorder="1" applyAlignment="1">
      <alignment horizontal="right" vertical="center" shrinkToFit="1"/>
    </xf>
    <xf numFmtId="172" fontId="33" fillId="8" borderId="0" xfId="4" applyNumberFormat="1" applyFont="1" applyFill="1" applyBorder="1" applyAlignment="1">
      <alignment horizontal="right" vertical="center" shrinkToFit="1"/>
    </xf>
    <xf numFmtId="172" fontId="35" fillId="8" borderId="0" xfId="4" applyNumberFormat="1" applyFont="1" applyFill="1" applyBorder="1" applyAlignment="1">
      <alignment horizontal="right" vertical="center" shrinkToFit="1"/>
    </xf>
    <xf numFmtId="171" fontId="30" fillId="8" borderId="0" xfId="4" applyNumberFormat="1" applyFont="1" applyFill="1" applyBorder="1" applyAlignment="1">
      <alignment horizontal="right" vertical="center" shrinkToFit="1"/>
    </xf>
    <xf numFmtId="171" fontId="32" fillId="8" borderId="0" xfId="4" applyNumberFormat="1" applyFont="1" applyFill="1" applyBorder="1" applyAlignment="1">
      <alignment horizontal="right" vertical="center" shrinkToFit="1"/>
    </xf>
    <xf numFmtId="171" fontId="34" fillId="8" borderId="0" xfId="4" applyNumberFormat="1" applyFont="1" applyFill="1" applyBorder="1" applyAlignment="1">
      <alignment horizontal="right" vertical="center" shrinkToFit="1"/>
    </xf>
    <xf numFmtId="0" fontId="21" fillId="7" borderId="0" xfId="4" applyFont="1" applyFill="1" applyBorder="1">
      <alignment horizontal="center" vertical="center"/>
    </xf>
    <xf numFmtId="0" fontId="38" fillId="7" borderId="0" xfId="4" applyFont="1" applyFill="1" applyBorder="1" applyAlignment="1">
      <alignment horizontal="right"/>
    </xf>
    <xf numFmtId="0" fontId="23" fillId="7" borderId="0" xfId="4" applyFont="1" applyFill="1" applyBorder="1" applyAlignment="1">
      <alignment wrapText="1"/>
    </xf>
    <xf numFmtId="0" fontId="21" fillId="7" borderId="0" xfId="4" applyFont="1" applyFill="1" applyBorder="1" applyAlignment="1">
      <alignment horizontal="center" vertical="center"/>
    </xf>
    <xf numFmtId="0" fontId="38" fillId="9" borderId="0" xfId="4" applyFont="1" applyFill="1" applyBorder="1" applyAlignment="1">
      <alignment horizontal="right"/>
    </xf>
    <xf numFmtId="0" fontId="21" fillId="9" borderId="0" xfId="4" applyFont="1" applyFill="1" applyBorder="1">
      <alignment horizontal="center" vertical="center"/>
    </xf>
    <xf numFmtId="0" fontId="24" fillId="9" borderId="13" xfId="4" applyFont="1" applyFill="1" applyBorder="1" applyAlignment="1">
      <alignment horizontal="right"/>
    </xf>
    <xf numFmtId="0" fontId="24" fillId="9" borderId="13" xfId="4" applyFont="1" applyFill="1" applyBorder="1" applyAlignment="1">
      <alignment horizontal="right" indent="1"/>
    </xf>
    <xf numFmtId="0" fontId="21" fillId="9" borderId="13" xfId="4" applyFont="1" applyFill="1" applyBorder="1">
      <alignment horizontal="center" vertical="center"/>
    </xf>
    <xf numFmtId="0" fontId="21" fillId="9" borderId="13" xfId="4" applyFont="1" applyFill="1" applyBorder="1" applyAlignment="1">
      <alignment horizontal="center" vertical="center"/>
    </xf>
    <xf numFmtId="0" fontId="38" fillId="9" borderId="15" xfId="4" applyFont="1" applyFill="1" applyBorder="1" applyAlignment="1">
      <alignment horizontal="right"/>
    </xf>
    <xf numFmtId="0" fontId="21" fillId="9" borderId="15" xfId="4" applyFont="1" applyFill="1" applyBorder="1">
      <alignment horizontal="center" vertical="center"/>
    </xf>
    <xf numFmtId="0" fontId="21" fillId="9" borderId="15" xfId="4" applyFont="1" applyFill="1" applyBorder="1" applyAlignment="1">
      <alignment horizontal="center" vertical="center"/>
    </xf>
    <xf numFmtId="0" fontId="42" fillId="9" borderId="0" xfId="4" applyFont="1" applyFill="1" applyBorder="1" applyAlignment="1">
      <alignment horizontal="center" vertical="center" wrapText="1"/>
    </xf>
    <xf numFmtId="0" fontId="23" fillId="9" borderId="0" xfId="4" applyFont="1" applyFill="1" applyBorder="1" applyAlignment="1">
      <alignment horizontal="right"/>
    </xf>
    <xf numFmtId="0" fontId="23" fillId="9" borderId="0" xfId="4" applyFont="1" applyFill="1" applyBorder="1" applyAlignment="1">
      <alignment horizontal="right" indent="1"/>
    </xf>
    <xf numFmtId="0" fontId="21" fillId="9" borderId="0" xfId="4" applyFont="1" applyFill="1" applyBorder="1" applyAlignment="1">
      <alignment horizontal="center" vertical="center"/>
    </xf>
    <xf numFmtId="0" fontId="26" fillId="9" borderId="14" xfId="4" applyFont="1" applyFill="1" applyBorder="1" applyAlignment="1">
      <alignment horizontal="right"/>
    </xf>
    <xf numFmtId="0" fontId="39" fillId="9" borderId="14" xfId="4" applyFont="1" applyFill="1" applyBorder="1" applyAlignment="1">
      <alignment horizontal="right" indent="1"/>
    </xf>
    <xf numFmtId="0" fontId="21" fillId="9" borderId="14" xfId="4" applyFont="1" applyFill="1" applyBorder="1">
      <alignment horizontal="center" vertical="center"/>
    </xf>
    <xf numFmtId="0" fontId="21" fillId="9" borderId="14" xfId="4" applyFont="1" applyFill="1" applyBorder="1" applyAlignment="1">
      <alignment horizontal="center" vertical="center"/>
    </xf>
    <xf numFmtId="0" fontId="21" fillId="10" borderId="0" xfId="4" applyFont="1" applyFill="1" applyBorder="1">
      <alignment horizontal="center" vertical="center"/>
    </xf>
    <xf numFmtId="0" fontId="24" fillId="10" borderId="0" xfId="4" applyFont="1" applyFill="1" applyBorder="1" applyAlignment="1">
      <alignment horizontal="right"/>
    </xf>
    <xf numFmtId="0" fontId="38" fillId="10" borderId="15" xfId="4" applyFont="1" applyFill="1" applyBorder="1" applyAlignment="1">
      <alignment horizontal="right"/>
    </xf>
    <xf numFmtId="0" fontId="21" fillId="10" borderId="15" xfId="4" applyFont="1" applyFill="1" applyBorder="1">
      <alignment horizontal="center" vertical="center"/>
    </xf>
    <xf numFmtId="0" fontId="43" fillId="10" borderId="0" xfId="4" applyFont="1" applyFill="1" applyBorder="1" applyAlignment="1">
      <alignment horizontal="center" vertical="center" wrapText="1"/>
    </xf>
    <xf numFmtId="0" fontId="23" fillId="10" borderId="0" xfId="4" applyFont="1" applyFill="1" applyBorder="1" applyAlignment="1">
      <alignment horizontal="right"/>
    </xf>
    <xf numFmtId="0" fontId="28" fillId="10" borderId="14" xfId="4" applyFont="1" applyFill="1" applyBorder="1" applyAlignment="1">
      <alignment horizontal="right"/>
    </xf>
    <xf numFmtId="0" fontId="21" fillId="10" borderId="14" xfId="4" applyFont="1" applyFill="1" applyBorder="1">
      <alignment horizontal="center" vertical="center"/>
    </xf>
    <xf numFmtId="0" fontId="21" fillId="10" borderId="16" xfId="4" applyFont="1" applyFill="1" applyBorder="1">
      <alignment horizontal="center" vertical="center"/>
    </xf>
    <xf numFmtId="0" fontId="21" fillId="10" borderId="0" xfId="4" applyFont="1" applyFill="1" applyBorder="1" applyAlignment="1"/>
    <xf numFmtId="172" fontId="29" fillId="10" borderId="0" xfId="4" applyNumberFormat="1" applyFont="1" applyFill="1" applyBorder="1" applyAlignment="1">
      <alignment horizontal="right"/>
    </xf>
    <xf numFmtId="0" fontId="21" fillId="11" borderId="0" xfId="4" applyFont="1" applyFill="1" applyBorder="1">
      <alignment horizontal="center" vertical="center"/>
    </xf>
    <xf numFmtId="0" fontId="48" fillId="9" borderId="0" xfId="4" applyFont="1" applyFill="1" applyBorder="1" applyAlignment="1">
      <alignment horizontal="center" vertical="center" wrapText="1"/>
    </xf>
    <xf numFmtId="0" fontId="49" fillId="10" borderId="0" xfId="4" applyFont="1" applyFill="1" applyBorder="1" applyAlignment="1">
      <alignment horizontal="center" vertical="center" wrapText="1"/>
    </xf>
    <xf numFmtId="0" fontId="27" fillId="5" borderId="0" xfId="4" applyFont="1" applyFill="1" applyBorder="1" applyAlignment="1">
      <alignment horizontal="right" vertical="center"/>
    </xf>
    <xf numFmtId="0" fontId="27" fillId="8" borderId="0" xfId="4" applyFont="1" applyFill="1" applyBorder="1" applyAlignment="1">
      <alignment horizontal="right" vertical="center"/>
    </xf>
    <xf numFmtId="0" fontId="29" fillId="5" borderId="0" xfId="4" applyFont="1" applyFill="1" applyBorder="1" applyAlignment="1">
      <alignment horizontal="center"/>
    </xf>
    <xf numFmtId="172" fontId="29" fillId="5" borderId="12" xfId="4" applyNumberFormat="1" applyFont="1" applyFill="1" applyBorder="1" applyAlignment="1">
      <alignment horizontal="right"/>
    </xf>
    <xf numFmtId="0" fontId="29" fillId="8" borderId="0" xfId="4" applyFont="1" applyFill="1" applyBorder="1" applyAlignment="1">
      <alignment horizontal="center"/>
    </xf>
    <xf numFmtId="0" fontId="29" fillId="8" borderId="12" xfId="4" applyFont="1" applyFill="1" applyBorder="1" applyAlignment="1">
      <alignment horizontal="center"/>
    </xf>
    <xf numFmtId="172" fontId="29" fillId="10" borderId="0" xfId="4" applyNumberFormat="1" applyFont="1" applyFill="1" applyBorder="1" applyAlignment="1">
      <alignment horizontal="center" shrinkToFit="1"/>
    </xf>
    <xf numFmtId="0" fontId="51" fillId="9" borderId="0" xfId="4" applyFont="1" applyFill="1" applyBorder="1" applyAlignment="1">
      <alignment horizontal="right" vertical="top"/>
    </xf>
    <xf numFmtId="0" fontId="52" fillId="9" borderId="0" xfId="4" applyFont="1" applyFill="1" applyBorder="1" applyAlignment="1">
      <alignment horizontal="center" vertical="top"/>
    </xf>
    <xf numFmtId="0" fontId="52" fillId="10" borderId="0" xfId="4" applyFont="1" applyFill="1" applyBorder="1" applyAlignment="1">
      <alignment horizontal="center" vertical="top"/>
    </xf>
    <xf numFmtId="0" fontId="51" fillId="10" borderId="0" xfId="4" applyFont="1" applyFill="1" applyBorder="1" applyAlignment="1">
      <alignment horizontal="right" vertical="top"/>
    </xf>
    <xf numFmtId="0" fontId="53" fillId="9" borderId="16" xfId="4" applyFont="1" applyFill="1" applyBorder="1" applyAlignment="1">
      <alignment horizontal="right" vertical="top"/>
    </xf>
    <xf numFmtId="0" fontId="54" fillId="9" borderId="16" xfId="4" applyFont="1" applyFill="1" applyBorder="1" applyAlignment="1">
      <alignment horizontal="center" vertical="top"/>
    </xf>
    <xf numFmtId="0" fontId="54" fillId="10" borderId="0" xfId="4" applyFont="1" applyFill="1" applyBorder="1" applyAlignment="1">
      <alignment horizontal="center" vertical="top"/>
    </xf>
    <xf numFmtId="0" fontId="53" fillId="10" borderId="16" xfId="4" applyFont="1" applyFill="1" applyBorder="1" applyAlignment="1">
      <alignment horizontal="right" vertical="top"/>
    </xf>
    <xf numFmtId="0" fontId="53" fillId="9" borderId="0" xfId="4" applyFont="1" applyFill="1" applyBorder="1" applyAlignment="1">
      <alignment horizontal="right" vertical="top"/>
    </xf>
    <xf numFmtId="0" fontId="54" fillId="9" borderId="0" xfId="4" applyFont="1" applyFill="1" applyBorder="1" applyAlignment="1">
      <alignment horizontal="center" vertical="top"/>
    </xf>
    <xf numFmtId="0" fontId="53" fillId="10" borderId="0" xfId="4" applyFont="1" applyFill="1" applyBorder="1" applyAlignment="1">
      <alignment horizontal="right" vertical="top"/>
    </xf>
    <xf numFmtId="0" fontId="21" fillId="6" borderId="0" xfId="4" applyFont="1" applyFill="1" applyBorder="1" applyAlignment="1"/>
    <xf numFmtId="0" fontId="44" fillId="6" borderId="0" xfId="4" applyFont="1" applyFill="1" applyBorder="1">
      <alignment horizontal="center" vertical="center"/>
    </xf>
    <xf numFmtId="172" fontId="29" fillId="6" borderId="0" xfId="4" applyNumberFormat="1" applyFont="1" applyFill="1" applyBorder="1" applyAlignment="1">
      <alignment horizontal="right" vertical="top" wrapText="1"/>
    </xf>
    <xf numFmtId="172" fontId="29" fillId="6" borderId="0" xfId="4" applyNumberFormat="1" applyFont="1" applyFill="1" applyBorder="1" applyAlignment="1">
      <alignment horizontal="right" vertical="top"/>
    </xf>
    <xf numFmtId="0" fontId="29" fillId="6" borderId="0" xfId="4" applyFont="1" applyFill="1" applyBorder="1">
      <alignment horizontal="center" vertical="center"/>
    </xf>
    <xf numFmtId="0" fontId="23" fillId="6" borderId="0" xfId="4" applyFont="1" applyFill="1" applyBorder="1">
      <alignment horizontal="center" vertical="center"/>
    </xf>
    <xf numFmtId="0" fontId="21" fillId="6" borderId="0" xfId="4" applyFont="1" applyFill="1" applyBorder="1" applyAlignment="1">
      <alignment shrinkToFit="1"/>
    </xf>
    <xf numFmtId="173" fontId="21" fillId="6" borderId="0" xfId="4" applyNumberFormat="1" applyFont="1" applyFill="1" applyBorder="1" applyAlignment="1">
      <alignment shrinkToFit="1"/>
    </xf>
    <xf numFmtId="173" fontId="23" fillId="6" borderId="0" xfId="4" applyNumberFormat="1" applyFont="1" applyFill="1" applyBorder="1" applyAlignment="1">
      <alignment shrinkToFit="1"/>
    </xf>
    <xf numFmtId="0" fontId="21" fillId="6" borderId="0" xfId="4" applyFont="1" applyFill="1" applyBorder="1" applyAlignment="1">
      <alignment horizontal="center" vertical="center" shrinkToFit="1"/>
    </xf>
    <xf numFmtId="0" fontId="21" fillId="6" borderId="0" xfId="4" applyNumberFormat="1" applyFont="1" applyFill="1" applyBorder="1" applyAlignment="1">
      <alignment shrinkToFit="1"/>
    </xf>
    <xf numFmtId="0" fontId="23" fillId="6" borderId="0" xfId="4" applyNumberFormat="1" applyFont="1" applyFill="1" applyBorder="1" applyAlignment="1">
      <alignment shrinkToFit="1"/>
    </xf>
    <xf numFmtId="172" fontId="23" fillId="6" borderId="0" xfId="4" applyNumberFormat="1" applyFont="1" applyFill="1" applyBorder="1">
      <alignment horizontal="center" vertical="center"/>
    </xf>
    <xf numFmtId="0" fontId="21" fillId="6" borderId="0" xfId="4" applyFont="1" applyFill="1" applyBorder="1" applyAlignment="1">
      <alignment horizontal="right"/>
    </xf>
    <xf numFmtId="0" fontId="52" fillId="6" borderId="0" xfId="4" applyFont="1" applyFill="1" applyBorder="1" applyAlignment="1">
      <alignment horizontal="center" vertical="top"/>
    </xf>
    <xf numFmtId="0" fontId="54" fillId="6" borderId="0" xfId="4" applyFont="1" applyFill="1" applyBorder="1" applyAlignment="1">
      <alignment horizontal="center" vertical="top"/>
    </xf>
    <xf numFmtId="0" fontId="29" fillId="6" borderId="0" xfId="4" applyFont="1" applyFill="1" applyBorder="1" applyAlignment="1">
      <alignment horizontal="center"/>
    </xf>
    <xf numFmtId="0" fontId="62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2" fontId="5" fillId="0" borderId="0" xfId="0" applyNumberFormat="1" applyFont="1" applyAlignment="1" applyProtection="1">
      <alignment vertical="center" wrapText="1"/>
    </xf>
    <xf numFmtId="168" fontId="5" fillId="0" borderId="0" xfId="0" applyNumberFormat="1" applyFont="1" applyAlignment="1" applyProtection="1">
      <alignment vertical="center" wrapText="1"/>
    </xf>
    <xf numFmtId="0" fontId="5" fillId="0" borderId="0" xfId="0" quotePrefix="1" applyFont="1" applyAlignment="1" applyProtection="1">
      <alignment vertical="center" wrapText="1"/>
    </xf>
    <xf numFmtId="168" fontId="5" fillId="0" borderId="0" xfId="0" quotePrefix="1" applyNumberFormat="1" applyFont="1" applyAlignment="1" applyProtection="1">
      <alignment vertical="center" wrapText="1"/>
    </xf>
    <xf numFmtId="0" fontId="4" fillId="0" borderId="1" xfId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2" fontId="4" fillId="0" borderId="1" xfId="1" applyNumberFormat="1" applyFont="1" applyAlignment="1" applyProtection="1">
      <alignment horizontal="center" vertical="center"/>
    </xf>
    <xf numFmtId="168" fontId="4" fillId="0" borderId="1" xfId="1" applyNumberFormat="1" applyFont="1" applyAlignment="1" applyProtection="1">
      <alignment horizontal="center" vertical="center"/>
    </xf>
    <xf numFmtId="0" fontId="6" fillId="0" borderId="0" xfId="2" applyFont="1" applyFill="1" applyAlignment="1" applyProtection="1">
      <alignment horizontal="right" vertical="center"/>
    </xf>
    <xf numFmtId="0" fontId="6" fillId="0" borderId="0" xfId="2" applyFont="1" applyFill="1" applyAlignment="1" applyProtection="1">
      <alignment horizontal="left" vertical="center"/>
    </xf>
    <xf numFmtId="164" fontId="5" fillId="0" borderId="0" xfId="0" applyNumberFormat="1" applyFont="1" applyAlignment="1" applyProtection="1">
      <alignment vertical="center"/>
    </xf>
    <xf numFmtId="2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2" fontId="5" fillId="0" borderId="0" xfId="0" applyNumberFormat="1" applyFont="1" applyAlignment="1" applyProtection="1">
      <alignment vertical="center"/>
    </xf>
    <xf numFmtId="168" fontId="5" fillId="0" borderId="0" xfId="0" applyNumberFormat="1" applyFont="1" applyAlignment="1" applyProtection="1">
      <alignment vertical="center"/>
    </xf>
    <xf numFmtId="164" fontId="60" fillId="0" borderId="0" xfId="0" applyNumberFormat="1" applyFont="1" applyAlignment="1" applyProtection="1">
      <alignment vertical="center"/>
    </xf>
    <xf numFmtId="0" fontId="7" fillId="2" borderId="2" xfId="2" applyFont="1" applyFill="1" applyBorder="1" applyAlignment="1" applyProtection="1">
      <alignment horizontal="right" vertical="center"/>
    </xf>
    <xf numFmtId="0" fontId="7" fillId="2" borderId="3" xfId="2" applyFont="1" applyFill="1" applyBorder="1" applyAlignment="1" applyProtection="1">
      <alignment horizontal="left" vertical="center"/>
    </xf>
    <xf numFmtId="164" fontId="8" fillId="2" borderId="0" xfId="0" applyNumberFormat="1" applyFont="1" applyFill="1" applyAlignment="1" applyProtection="1">
      <alignment vertical="center"/>
    </xf>
    <xf numFmtId="164" fontId="8" fillId="2" borderId="0" xfId="0" applyNumberFormat="1" applyFont="1" applyFill="1" applyAlignment="1" applyProtection="1">
      <alignment horizontal="center" vertical="center"/>
    </xf>
    <xf numFmtId="2" fontId="8" fillId="2" borderId="0" xfId="0" applyNumberFormat="1" applyFont="1" applyFill="1" applyAlignment="1" applyProtection="1">
      <alignment vertical="center"/>
    </xf>
    <xf numFmtId="170" fontId="8" fillId="2" borderId="0" xfId="0" applyNumberFormat="1" applyFont="1" applyFill="1" applyAlignment="1" applyProtection="1">
      <alignment vertical="center"/>
    </xf>
    <xf numFmtId="0" fontId="7" fillId="2" borderId="4" xfId="2" applyFont="1" applyFill="1" applyBorder="1" applyAlignment="1" applyProtection="1">
      <alignment horizontal="right" vertical="center"/>
    </xf>
    <xf numFmtId="0" fontId="7" fillId="2" borderId="5" xfId="2" applyFont="1" applyFill="1" applyBorder="1" applyAlignment="1" applyProtection="1">
      <alignment horizontal="left" vertical="center"/>
    </xf>
    <xf numFmtId="0" fontId="7" fillId="2" borderId="6" xfId="2" applyFont="1" applyFill="1" applyBorder="1" applyAlignment="1" applyProtection="1">
      <alignment horizontal="right" vertical="center"/>
    </xf>
    <xf numFmtId="0" fontId="7" fillId="2" borderId="7" xfId="2" applyFont="1" applyFill="1" applyBorder="1" applyAlignment="1" applyProtection="1">
      <alignment horizontal="left" vertical="center"/>
    </xf>
    <xf numFmtId="0" fontId="48" fillId="9" borderId="0" xfId="4" applyFont="1" applyFill="1" applyBorder="1" applyAlignment="1" applyProtection="1">
      <alignment horizontal="center" vertical="center" wrapText="1"/>
    </xf>
    <xf numFmtId="0" fontId="21" fillId="6" borderId="0" xfId="4" applyFont="1" applyFill="1" applyBorder="1" applyAlignment="1" applyProtection="1">
      <alignment horizontal="center" vertical="center"/>
    </xf>
    <xf numFmtId="0" fontId="49" fillId="10" borderId="0" xfId="4" applyFont="1" applyFill="1" applyBorder="1" applyAlignment="1" applyProtection="1">
      <alignment horizontal="center" vertical="center" wrapText="1"/>
    </xf>
    <xf numFmtId="0" fontId="38" fillId="9" borderId="0" xfId="4" applyFont="1" applyFill="1" applyBorder="1" applyAlignment="1" applyProtection="1">
      <alignment horizontal="right"/>
    </xf>
    <xf numFmtId="0" fontId="21" fillId="9" borderId="0" xfId="4" applyFont="1" applyFill="1" applyBorder="1" applyProtection="1">
      <alignment horizontal="center" vertical="center"/>
    </xf>
    <xf numFmtId="0" fontId="21" fillId="6" borderId="0" xfId="4" applyFont="1" applyFill="1" applyBorder="1" applyProtection="1">
      <alignment horizontal="center" vertical="center"/>
    </xf>
    <xf numFmtId="0" fontId="21" fillId="10" borderId="0" xfId="4" applyFont="1" applyFill="1" applyBorder="1" applyProtection="1">
      <alignment horizontal="center" vertical="center"/>
    </xf>
    <xf numFmtId="0" fontId="59" fillId="9" borderId="13" xfId="4" applyFont="1" applyFill="1" applyBorder="1" applyAlignment="1" applyProtection="1">
      <alignment horizontal="right"/>
    </xf>
    <xf numFmtId="0" fontId="24" fillId="9" borderId="13" xfId="4" applyFont="1" applyFill="1" applyBorder="1" applyAlignment="1" applyProtection="1">
      <alignment horizontal="right" indent="1"/>
    </xf>
    <xf numFmtId="0" fontId="21" fillId="9" borderId="13" xfId="4" applyFont="1" applyFill="1" applyBorder="1" applyProtection="1">
      <alignment horizontal="center" vertical="center"/>
    </xf>
    <xf numFmtId="0" fontId="21" fillId="9" borderId="13" xfId="4" applyFont="1" applyFill="1" applyBorder="1" applyAlignment="1" applyProtection="1">
      <alignment horizontal="center" vertical="center"/>
    </xf>
    <xf numFmtId="0" fontId="59" fillId="10" borderId="0" xfId="4" applyFont="1" applyFill="1" applyBorder="1" applyAlignment="1" applyProtection="1">
      <alignment horizontal="right"/>
    </xf>
    <xf numFmtId="0" fontId="38" fillId="9" borderId="15" xfId="4" applyFont="1" applyFill="1" applyBorder="1" applyAlignment="1" applyProtection="1">
      <alignment horizontal="right"/>
    </xf>
    <xf numFmtId="0" fontId="21" fillId="9" borderId="15" xfId="4" applyFont="1" applyFill="1" applyBorder="1" applyProtection="1">
      <alignment horizontal="center" vertical="center"/>
    </xf>
    <xf numFmtId="0" fontId="21" fillId="9" borderId="15" xfId="4" applyFont="1" applyFill="1" applyBorder="1" applyAlignment="1" applyProtection="1">
      <alignment horizontal="center" vertical="center"/>
    </xf>
    <xf numFmtId="0" fontId="38" fillId="10" borderId="15" xfId="4" applyFont="1" applyFill="1" applyBorder="1" applyAlignment="1" applyProtection="1">
      <alignment horizontal="right"/>
    </xf>
    <xf numFmtId="0" fontId="21" fillId="10" borderId="15" xfId="4" applyFont="1" applyFill="1" applyBorder="1" applyProtection="1">
      <alignment horizontal="center" vertical="center"/>
    </xf>
    <xf numFmtId="0" fontId="42" fillId="9" borderId="0" xfId="4" applyFont="1" applyFill="1" applyBorder="1" applyAlignment="1" applyProtection="1">
      <alignment horizontal="center" vertical="center" wrapText="1"/>
    </xf>
    <xf numFmtId="0" fontId="23" fillId="9" borderId="0" xfId="4" applyFont="1" applyFill="1" applyBorder="1" applyAlignment="1" applyProtection="1">
      <alignment horizontal="right"/>
    </xf>
    <xf numFmtId="0" fontId="23" fillId="9" borderId="0" xfId="4" applyFont="1" applyFill="1" applyBorder="1" applyAlignment="1" applyProtection="1">
      <alignment horizontal="right" indent="1"/>
    </xf>
    <xf numFmtId="0" fontId="21" fillId="9" borderId="0" xfId="4" applyFont="1" applyFill="1" applyBorder="1" applyAlignment="1" applyProtection="1">
      <alignment horizontal="center" vertical="center"/>
    </xf>
    <xf numFmtId="0" fontId="43" fillId="10" borderId="0" xfId="4" applyFont="1" applyFill="1" applyBorder="1" applyAlignment="1" applyProtection="1">
      <alignment horizontal="center" vertical="center" wrapText="1"/>
    </xf>
    <xf numFmtId="0" fontId="23" fillId="10" borderId="0" xfId="4" applyFont="1" applyFill="1" applyBorder="1" applyAlignment="1" applyProtection="1">
      <alignment horizontal="right"/>
    </xf>
    <xf numFmtId="0" fontId="26" fillId="9" borderId="14" xfId="4" applyFont="1" applyFill="1" applyBorder="1" applyAlignment="1" applyProtection="1">
      <alignment horizontal="right"/>
    </xf>
    <xf numFmtId="0" fontId="39" fillId="9" borderId="14" xfId="4" applyFont="1" applyFill="1" applyBorder="1" applyAlignment="1" applyProtection="1">
      <alignment horizontal="right" indent="1"/>
    </xf>
    <xf numFmtId="0" fontId="21" fillId="9" borderId="14" xfId="4" applyFont="1" applyFill="1" applyBorder="1" applyProtection="1">
      <alignment horizontal="center" vertical="center"/>
    </xf>
    <xf numFmtId="0" fontId="21" fillId="9" borderId="14" xfId="4" applyFont="1" applyFill="1" applyBorder="1" applyAlignment="1" applyProtection="1">
      <alignment horizontal="center" vertical="center"/>
    </xf>
    <xf numFmtId="0" fontId="28" fillId="10" borderId="14" xfId="4" applyFont="1" applyFill="1" applyBorder="1" applyAlignment="1" applyProtection="1">
      <alignment horizontal="right"/>
    </xf>
    <xf numFmtId="0" fontId="21" fillId="10" borderId="14" xfId="4" applyFont="1" applyFill="1" applyBorder="1" applyProtection="1">
      <alignment horizontal="center" vertical="center"/>
    </xf>
    <xf numFmtId="0" fontId="40" fillId="9" borderId="0" xfId="4" applyFont="1" applyFill="1" applyBorder="1" applyAlignment="1" applyProtection="1">
      <alignment horizontal="right"/>
    </xf>
    <xf numFmtId="0" fontId="40" fillId="9" borderId="0" xfId="4" applyFont="1" applyFill="1" applyBorder="1" applyAlignment="1" applyProtection="1">
      <alignment horizontal="right" indent="1"/>
    </xf>
    <xf numFmtId="0" fontId="25" fillId="10" borderId="0" xfId="4" applyFont="1" applyFill="1" applyBorder="1" applyAlignment="1" applyProtection="1">
      <alignment horizontal="right"/>
    </xf>
    <xf numFmtId="0" fontId="58" fillId="9" borderId="16" xfId="4" applyFont="1" applyFill="1" applyBorder="1" applyAlignment="1" applyProtection="1">
      <alignment horizontal="right"/>
    </xf>
    <xf numFmtId="0" fontId="21" fillId="9" borderId="16" xfId="4" applyFont="1" applyFill="1" applyBorder="1" applyProtection="1">
      <alignment horizontal="center" vertical="center"/>
    </xf>
    <xf numFmtId="0" fontId="21" fillId="9" borderId="16" xfId="4" applyFont="1" applyFill="1" applyBorder="1" applyAlignment="1" applyProtection="1">
      <alignment horizontal="center" vertical="center"/>
    </xf>
    <xf numFmtId="0" fontId="58" fillId="10" borderId="16" xfId="4" applyFont="1" applyFill="1" applyBorder="1" applyAlignment="1" applyProtection="1">
      <alignment horizontal="right"/>
    </xf>
    <xf numFmtId="0" fontId="21" fillId="10" borderId="16" xfId="4" applyFont="1" applyFill="1" applyBorder="1" applyProtection="1">
      <alignment horizontal="center" vertical="center"/>
    </xf>
    <xf numFmtId="0" fontId="38" fillId="10" borderId="0" xfId="4" applyFont="1" applyFill="1" applyBorder="1" applyAlignment="1" applyProtection="1">
      <alignment horizontal="right"/>
    </xf>
    <xf numFmtId="0" fontId="44" fillId="6" borderId="0" xfId="4" applyFont="1" applyFill="1" applyBorder="1" applyProtection="1">
      <alignment horizontal="center" vertical="center"/>
    </xf>
    <xf numFmtId="0" fontId="21" fillId="9" borderId="0" xfId="4" applyFont="1" applyFill="1" applyBorder="1" applyAlignment="1" applyProtection="1"/>
    <xf numFmtId="172" fontId="29" fillId="9" borderId="0" xfId="4" applyNumberFormat="1" applyFont="1" applyFill="1" applyBorder="1" applyAlignment="1" applyProtection="1">
      <alignment horizontal="center" shrinkToFit="1"/>
    </xf>
    <xf numFmtId="172" fontId="29" fillId="9" borderId="0" xfId="4" applyNumberFormat="1" applyFont="1" applyFill="1" applyBorder="1" applyAlignment="1" applyProtection="1">
      <alignment horizontal="right"/>
    </xf>
    <xf numFmtId="0" fontId="21" fillId="6" borderId="0" xfId="4" applyFont="1" applyFill="1" applyBorder="1" applyAlignment="1" applyProtection="1"/>
    <xf numFmtId="0" fontId="21" fillId="10" borderId="0" xfId="4" applyFont="1" applyFill="1" applyBorder="1" applyAlignment="1" applyProtection="1"/>
    <xf numFmtId="172" fontId="29" fillId="10" borderId="0" xfId="4" applyNumberFormat="1" applyFont="1" applyFill="1" applyBorder="1" applyAlignment="1" applyProtection="1">
      <alignment horizontal="center" shrinkToFit="1"/>
    </xf>
    <xf numFmtId="172" fontId="29" fillId="10" borderId="0" xfId="4" applyNumberFormat="1" applyFont="1" applyFill="1" applyBorder="1" applyAlignment="1" applyProtection="1">
      <alignment horizontal="right"/>
    </xf>
    <xf numFmtId="172" fontId="21" fillId="9" borderId="0" xfId="4" applyNumberFormat="1" applyFont="1" applyFill="1" applyBorder="1" applyAlignment="1" applyProtection="1">
      <alignment horizontal="center" shrinkToFit="1"/>
    </xf>
    <xf numFmtId="172" fontId="46" fillId="9" borderId="0" xfId="4" applyNumberFormat="1" applyFont="1" applyFill="1" applyBorder="1" applyAlignment="1" applyProtection="1">
      <alignment horizontal="right"/>
    </xf>
    <xf numFmtId="172" fontId="21" fillId="10" borderId="0" xfId="4" applyNumberFormat="1" applyFont="1" applyFill="1" applyBorder="1" applyAlignment="1" applyProtection="1">
      <alignment horizontal="center" shrinkToFit="1"/>
    </xf>
    <xf numFmtId="172" fontId="46" fillId="10" borderId="0" xfId="4" applyNumberFormat="1" applyFont="1" applyFill="1" applyBorder="1" applyAlignment="1" applyProtection="1">
      <alignment horizontal="right"/>
    </xf>
    <xf numFmtId="172" fontId="55" fillId="9" borderId="0" xfId="4" applyNumberFormat="1" applyFont="1" applyFill="1" applyBorder="1" applyAlignment="1" applyProtection="1">
      <alignment horizontal="center" shrinkToFit="1"/>
    </xf>
    <xf numFmtId="172" fontId="55" fillId="9" borderId="0" xfId="4" applyNumberFormat="1" applyFont="1" applyFill="1" applyBorder="1" applyAlignment="1" applyProtection="1">
      <alignment horizontal="right" shrinkToFit="1"/>
    </xf>
    <xf numFmtId="0" fontId="55" fillId="6" borderId="0" xfId="4" applyFont="1" applyFill="1" applyBorder="1" applyAlignment="1" applyProtection="1">
      <alignment horizontal="center" shrinkToFit="1"/>
    </xf>
    <xf numFmtId="0" fontId="55" fillId="10" borderId="0" xfId="4" applyFont="1" applyFill="1" applyBorder="1" applyAlignment="1" applyProtection="1">
      <alignment horizontal="center" shrinkToFit="1"/>
    </xf>
    <xf numFmtId="172" fontId="31" fillId="9" borderId="0" xfId="4" applyNumberFormat="1" applyFont="1" applyFill="1" applyBorder="1" applyAlignment="1" applyProtection="1">
      <alignment horizontal="right" vertical="center" shrinkToFit="1"/>
    </xf>
    <xf numFmtId="172" fontId="30" fillId="9" borderId="0" xfId="4" applyNumberFormat="1" applyFont="1" applyFill="1" applyBorder="1" applyAlignment="1" applyProtection="1">
      <alignment horizontal="right" vertical="center" shrinkToFit="1"/>
    </xf>
    <xf numFmtId="172" fontId="31" fillId="10" borderId="0" xfId="4" applyNumberFormat="1" applyFont="1" applyFill="1" applyBorder="1" applyAlignment="1" applyProtection="1">
      <alignment horizontal="right" vertical="center" shrinkToFit="1"/>
    </xf>
    <xf numFmtId="172" fontId="33" fillId="9" borderId="0" xfId="4" applyNumberFormat="1" applyFont="1" applyFill="1" applyBorder="1" applyAlignment="1" applyProtection="1">
      <alignment horizontal="right" vertical="center" shrinkToFit="1"/>
    </xf>
    <xf numFmtId="172" fontId="33" fillId="10" borderId="0" xfId="4" applyNumberFormat="1" applyFont="1" applyFill="1" applyBorder="1" applyAlignment="1" applyProtection="1">
      <alignment horizontal="right" vertical="center" shrinkToFit="1"/>
    </xf>
    <xf numFmtId="172" fontId="37" fillId="9" borderId="0" xfId="4" applyNumberFormat="1" applyFont="1" applyFill="1" applyBorder="1" applyAlignment="1" applyProtection="1">
      <alignment horizontal="right" vertical="center" shrinkToFit="1"/>
    </xf>
    <xf numFmtId="172" fontId="35" fillId="10" borderId="0" xfId="4" applyNumberFormat="1" applyFont="1" applyFill="1" applyBorder="1" applyAlignment="1" applyProtection="1">
      <alignment horizontal="right" vertical="center" shrinkToFit="1"/>
    </xf>
    <xf numFmtId="171" fontId="31" fillId="9" borderId="0" xfId="4" applyNumberFormat="1" applyFont="1" applyFill="1" applyBorder="1" applyAlignment="1" applyProtection="1">
      <alignment horizontal="right" vertical="center" shrinkToFit="1"/>
    </xf>
    <xf numFmtId="171" fontId="31" fillId="10" borderId="0" xfId="4" applyNumberFormat="1" applyFont="1" applyFill="1" applyBorder="1" applyAlignment="1" applyProtection="1">
      <alignment horizontal="right" vertical="center" shrinkToFit="1"/>
    </xf>
    <xf numFmtId="171" fontId="33" fillId="9" borderId="0" xfId="4" applyNumberFormat="1" applyFont="1" applyFill="1" applyBorder="1" applyAlignment="1" applyProtection="1">
      <alignment horizontal="right" vertical="center" shrinkToFit="1"/>
    </xf>
    <xf numFmtId="171" fontId="33" fillId="10" borderId="0" xfId="4" applyNumberFormat="1" applyFont="1" applyFill="1" applyBorder="1" applyAlignment="1" applyProtection="1">
      <alignment horizontal="right" vertical="center" shrinkToFit="1"/>
    </xf>
    <xf numFmtId="0" fontId="56" fillId="9" borderId="0" xfId="4" applyFont="1" applyFill="1" applyBorder="1" applyAlignment="1" applyProtection="1">
      <alignment horizontal="right" vertical="center"/>
    </xf>
    <xf numFmtId="171" fontId="37" fillId="9" borderId="0" xfId="4" applyNumberFormat="1" applyFont="1" applyFill="1" applyBorder="1" applyAlignment="1" applyProtection="1">
      <alignment horizontal="right" vertical="center" shrinkToFit="1"/>
    </xf>
    <xf numFmtId="0" fontId="57" fillId="10" borderId="0" xfId="4" applyFont="1" applyFill="1" applyBorder="1" applyProtection="1">
      <alignment horizontal="center" vertical="center"/>
    </xf>
    <xf numFmtId="171" fontId="35" fillId="10" borderId="0" xfId="4" applyNumberFormat="1" applyFont="1" applyFill="1" applyBorder="1" applyAlignment="1" applyProtection="1">
      <alignment horizontal="right" vertical="center" shrinkToFit="1"/>
    </xf>
    <xf numFmtId="172" fontId="22" fillId="9" borderId="0" xfId="4" applyNumberFormat="1" applyFont="1" applyFill="1" applyBorder="1" applyAlignment="1" applyProtection="1">
      <alignment horizontal="right" vertical="center" shrinkToFit="1"/>
    </xf>
    <xf numFmtId="0" fontId="55" fillId="6" borderId="0" xfId="4" applyFont="1" applyFill="1" applyBorder="1" applyAlignment="1" applyProtection="1">
      <alignment horizontal="center" vertical="top" shrinkToFit="1"/>
    </xf>
    <xf numFmtId="0" fontId="5" fillId="0" borderId="0" xfId="0" applyFont="1" applyAlignment="1" applyProtection="1">
      <alignment wrapText="1"/>
      <protection locked="0"/>
    </xf>
    <xf numFmtId="164" fontId="5" fillId="0" borderId="0" xfId="0" applyNumberFormat="1" applyFont="1" applyProtection="1">
      <protection locked="0"/>
    </xf>
    <xf numFmtId="0" fontId="5" fillId="3" borderId="10" xfId="0" applyFont="1" applyFill="1" applyBorder="1" applyAlignment="1" applyProtection="1">
      <alignment wrapText="1"/>
      <protection locked="0"/>
    </xf>
    <xf numFmtId="164" fontId="5" fillId="3" borderId="10" xfId="0" applyNumberFormat="1" applyFont="1" applyFill="1" applyBorder="1" applyProtection="1">
      <protection locked="0"/>
    </xf>
    <xf numFmtId="0" fontId="2" fillId="0" borderId="1" xfId="1" applyProtection="1"/>
    <xf numFmtId="0" fontId="5" fillId="0" borderId="0" xfId="0" applyFont="1" applyProtection="1"/>
    <xf numFmtId="0" fontId="19" fillId="0" borderId="0" xfId="0" applyFont="1" applyProtection="1"/>
    <xf numFmtId="0" fontId="2" fillId="0" borderId="0" xfId="1" applyBorder="1" applyProtection="1"/>
    <xf numFmtId="0" fontId="5" fillId="0" borderId="0" xfId="0" applyFont="1" applyAlignment="1" applyProtection="1">
      <alignment wrapText="1"/>
    </xf>
    <xf numFmtId="168" fontId="6" fillId="0" borderId="0" xfId="0" applyNumberFormat="1" applyFont="1" applyAlignment="1" applyProtection="1">
      <alignment horizontal="right"/>
    </xf>
    <xf numFmtId="164" fontId="5" fillId="0" borderId="0" xfId="0" applyNumberFormat="1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61" fillId="0" borderId="0" xfId="0" applyFont="1" applyProtection="1"/>
    <xf numFmtId="0" fontId="5" fillId="0" borderId="0" xfId="0" applyFont="1" applyBorder="1" applyAlignment="1" applyProtection="1">
      <alignment horizontal="left" vertical="top" wrapText="1"/>
    </xf>
    <xf numFmtId="168" fontId="6" fillId="0" borderId="0" xfId="0" applyNumberFormat="1" applyFont="1" applyFill="1" applyBorder="1" applyAlignment="1" applyProtection="1">
      <alignment horizontal="left"/>
    </xf>
    <xf numFmtId="168" fontId="5" fillId="0" borderId="0" xfId="0" applyNumberFormat="1" applyFont="1" applyProtection="1"/>
    <xf numFmtId="0" fontId="5" fillId="0" borderId="0" xfId="0" applyFont="1" applyAlignment="1" applyProtection="1">
      <alignment horizontal="center" wrapText="1"/>
    </xf>
    <xf numFmtId="168" fontId="7" fillId="0" borderId="0" xfId="0" applyNumberFormat="1" applyFont="1" applyFill="1" applyAlignment="1" applyProtection="1">
      <alignment horizontal="center" wrapText="1"/>
    </xf>
    <xf numFmtId="0" fontId="6" fillId="0" borderId="0" xfId="2" applyFont="1" applyFill="1" applyAlignment="1" applyProtection="1">
      <alignment horizontal="center" wrapText="1"/>
    </xf>
    <xf numFmtId="0" fontId="6" fillId="0" borderId="0" xfId="2" applyFont="1" applyFill="1" applyAlignment="1" applyProtection="1">
      <alignment horizontal="right"/>
    </xf>
    <xf numFmtId="2" fontId="5" fillId="0" borderId="0" xfId="0" applyNumberFormat="1" applyFont="1" applyAlignment="1" applyProtection="1">
      <alignment horizontal="center"/>
    </xf>
    <xf numFmtId="171" fontId="5" fillId="0" borderId="0" xfId="0" applyNumberFormat="1" applyFont="1" applyAlignment="1" applyProtection="1">
      <alignment horizontal="center"/>
    </xf>
    <xf numFmtId="0" fontId="14" fillId="0" borderId="0" xfId="0" applyFont="1" applyProtection="1"/>
    <xf numFmtId="2" fontId="5" fillId="0" borderId="0" xfId="0" applyNumberFormat="1" applyFont="1" applyProtection="1"/>
    <xf numFmtId="171" fontId="5" fillId="0" borderId="0" xfId="0" applyNumberFormat="1" applyFont="1" applyProtection="1"/>
    <xf numFmtId="0" fontId="65" fillId="12" borderId="0" xfId="1" applyFont="1" applyFill="1" applyBorder="1" applyProtection="1"/>
    <xf numFmtId="0" fontId="5" fillId="12" borderId="0" xfId="0" applyFont="1" applyFill="1" applyProtection="1"/>
    <xf numFmtId="168" fontId="6" fillId="12" borderId="0" xfId="0" applyNumberFormat="1" applyFont="1" applyFill="1" applyAlignment="1" applyProtection="1">
      <alignment horizontal="right"/>
    </xf>
    <xf numFmtId="0" fontId="19" fillId="12" borderId="0" xfId="0" applyFont="1" applyFill="1" applyProtection="1"/>
    <xf numFmtId="0" fontId="66" fillId="0" borderId="0" xfId="0" applyFont="1" applyProtection="1"/>
    <xf numFmtId="172" fontId="17" fillId="0" borderId="10" xfId="4" applyNumberFormat="1" applyFont="1" applyFill="1" applyBorder="1" applyAlignment="1" applyProtection="1">
      <alignment horizontal="right" vertical="center" shrinkToFit="1"/>
    </xf>
    <xf numFmtId="172" fontId="18" fillId="0" borderId="10" xfId="4" applyNumberFormat="1" applyFont="1" applyFill="1" applyBorder="1" applyAlignment="1" applyProtection="1">
      <alignment horizontal="right" vertical="center" shrinkToFit="1"/>
    </xf>
    <xf numFmtId="172" fontId="16" fillId="0" borderId="10" xfId="4" applyNumberFormat="1" applyFont="1" applyFill="1" applyBorder="1" applyAlignment="1" applyProtection="1">
      <alignment horizontal="right" vertical="center" shrinkToFit="1"/>
    </xf>
    <xf numFmtId="0" fontId="41" fillId="9" borderId="0" xfId="4" applyFont="1" applyFill="1" applyBorder="1" applyAlignment="1" applyProtection="1">
      <alignment horizontal="right"/>
    </xf>
    <xf numFmtId="0" fontId="41" fillId="10" borderId="0" xfId="4" applyFont="1" applyFill="1" applyBorder="1" applyAlignment="1" applyProtection="1">
      <alignment horizontal="right"/>
    </xf>
    <xf numFmtId="0" fontId="29" fillId="10" borderId="0" xfId="4" applyFont="1" applyFill="1" applyBorder="1" applyAlignment="1" applyProtection="1">
      <alignment horizontal="right"/>
    </xf>
    <xf numFmtId="172" fontId="30" fillId="9" borderId="0" xfId="4" applyNumberFormat="1" applyFont="1" applyFill="1" applyBorder="1" applyAlignment="1" applyProtection="1">
      <alignment horizontal="right" vertical="center" shrinkToFit="1"/>
    </xf>
    <xf numFmtId="172" fontId="30" fillId="10" borderId="0" xfId="4" applyNumberFormat="1" applyFont="1" applyFill="1" applyBorder="1" applyAlignment="1" applyProtection="1">
      <alignment horizontal="right" vertical="center" shrinkToFit="1"/>
    </xf>
    <xf numFmtId="172" fontId="32" fillId="9" borderId="0" xfId="4" applyNumberFormat="1" applyFont="1" applyFill="1" applyBorder="1" applyAlignment="1" applyProtection="1">
      <alignment horizontal="right" vertical="center" shrinkToFit="1"/>
    </xf>
    <xf numFmtId="172" fontId="32" fillId="10" borderId="0" xfId="4" applyNumberFormat="1" applyFont="1" applyFill="1" applyBorder="1" applyAlignment="1" applyProtection="1">
      <alignment horizontal="right" vertical="center" shrinkToFit="1"/>
    </xf>
    <xf numFmtId="172" fontId="36" fillId="9" borderId="0" xfId="4" applyNumberFormat="1" applyFont="1" applyFill="1" applyBorder="1" applyAlignment="1" applyProtection="1">
      <alignment horizontal="right" vertical="center" shrinkToFit="1"/>
    </xf>
    <xf numFmtId="172" fontId="34" fillId="10" borderId="0" xfId="4" applyNumberFormat="1" applyFont="1" applyFill="1" applyBorder="1" applyAlignment="1" applyProtection="1">
      <alignment horizontal="right" vertical="center" shrinkToFit="1"/>
    </xf>
    <xf numFmtId="172" fontId="29" fillId="9" borderId="0" xfId="4" applyNumberFormat="1" applyFont="1" applyFill="1" applyBorder="1" applyAlignment="1" applyProtection="1">
      <alignment horizontal="center" shrinkToFit="1"/>
    </xf>
    <xf numFmtId="172" fontId="21" fillId="9" borderId="0" xfId="4" applyNumberFormat="1" applyFont="1" applyFill="1" applyBorder="1" applyAlignment="1" applyProtection="1">
      <alignment horizontal="center" shrinkToFit="1"/>
    </xf>
    <xf numFmtId="172" fontId="29" fillId="10" borderId="0" xfId="4" applyNumberFormat="1" applyFont="1" applyFill="1" applyBorder="1" applyAlignment="1" applyProtection="1">
      <alignment horizontal="center" shrinkToFit="1"/>
    </xf>
    <xf numFmtId="0" fontId="63" fillId="9" borderId="0" xfId="4" applyFont="1" applyFill="1" applyBorder="1" applyAlignment="1" applyProtection="1">
      <alignment vertical="top" wrapText="1"/>
    </xf>
    <xf numFmtId="0" fontId="64" fillId="10" borderId="0" xfId="4" applyFont="1" applyFill="1" applyBorder="1" applyAlignment="1" applyProtection="1">
      <alignment vertical="top" wrapText="1"/>
    </xf>
    <xf numFmtId="0" fontId="27" fillId="9" borderId="13" xfId="4" applyFont="1" applyFill="1" applyBorder="1" applyAlignment="1" applyProtection="1">
      <alignment horizontal="right" vertical="top" wrapText="1"/>
    </xf>
    <xf numFmtId="0" fontId="27" fillId="10" borderId="0" xfId="4" applyFont="1" applyFill="1" applyBorder="1" applyAlignment="1" applyProtection="1">
      <alignment horizontal="right" vertical="top" wrapText="1"/>
    </xf>
    <xf numFmtId="172" fontId="21" fillId="10" borderId="0" xfId="4" applyNumberFormat="1" applyFont="1" applyFill="1" applyBorder="1" applyAlignment="1" applyProtection="1">
      <alignment horizontal="center" shrinkToFit="1"/>
    </xf>
    <xf numFmtId="172" fontId="55" fillId="9" borderId="0" xfId="4" applyNumberFormat="1" applyFont="1" applyFill="1" applyBorder="1" applyAlignment="1" applyProtection="1">
      <alignment horizontal="right" shrinkToFit="1"/>
    </xf>
    <xf numFmtId="0" fontId="55" fillId="10" borderId="0" xfId="4" applyFont="1" applyFill="1" applyBorder="1" applyAlignment="1" applyProtection="1">
      <alignment horizontal="right" shrinkToFit="1"/>
    </xf>
    <xf numFmtId="172" fontId="29" fillId="5" borderId="0" xfId="4" applyNumberFormat="1" applyFont="1" applyFill="1" applyBorder="1" applyAlignment="1">
      <alignment horizontal="center" shrinkToFit="1"/>
    </xf>
    <xf numFmtId="0" fontId="63" fillId="9" borderId="0" xfId="4" applyFont="1" applyFill="1" applyBorder="1" applyAlignment="1">
      <alignment vertical="top" wrapText="1"/>
    </xf>
    <xf numFmtId="0" fontId="64" fillId="10" borderId="0" xfId="4" applyFont="1" applyFill="1" applyBorder="1" applyAlignment="1">
      <alignment vertical="top" wrapText="1"/>
    </xf>
    <xf numFmtId="0" fontId="27" fillId="9" borderId="13" xfId="4" applyFont="1" applyFill="1" applyBorder="1" applyAlignment="1">
      <alignment horizontal="right" vertical="top" wrapText="1"/>
    </xf>
    <xf numFmtId="0" fontId="27" fillId="10" borderId="0" xfId="4" applyFont="1" applyFill="1" applyBorder="1" applyAlignment="1">
      <alignment horizontal="right" vertical="top" wrapText="1"/>
    </xf>
    <xf numFmtId="172" fontId="29" fillId="10" borderId="0" xfId="4" applyNumberFormat="1" applyFont="1" applyFill="1" applyBorder="1" applyAlignment="1">
      <alignment horizontal="center" shrinkToFit="1"/>
    </xf>
    <xf numFmtId="172" fontId="21" fillId="8" borderId="0" xfId="4" applyNumberFormat="1" applyFont="1" applyFill="1" applyBorder="1" applyAlignment="1">
      <alignment horizontal="center" shrinkToFit="1"/>
    </xf>
    <xf numFmtId="172" fontId="21" fillId="5" borderId="0" xfId="4" applyNumberFormat="1" applyFont="1" applyFill="1" applyBorder="1" applyAlignment="1">
      <alignment horizontal="center" shrinkToFit="1"/>
    </xf>
    <xf numFmtId="172" fontId="30" fillId="5" borderId="0" xfId="4" applyNumberFormat="1" applyFont="1" applyFill="1" applyBorder="1" applyAlignment="1">
      <alignment horizontal="right" vertical="center" shrinkToFit="1"/>
    </xf>
    <xf numFmtId="172" fontId="30" fillId="8" borderId="0" xfId="4" applyNumberFormat="1" applyFont="1" applyFill="1" applyBorder="1" applyAlignment="1">
      <alignment horizontal="right" vertical="center" shrinkToFit="1"/>
    </xf>
    <xf numFmtId="172" fontId="32" fillId="5" borderId="0" xfId="4" applyNumberFormat="1" applyFont="1" applyFill="1" applyBorder="1" applyAlignment="1">
      <alignment horizontal="right" vertical="center" shrinkToFit="1"/>
    </xf>
    <xf numFmtId="172" fontId="32" fillId="8" borderId="0" xfId="4" applyNumberFormat="1" applyFont="1" applyFill="1" applyBorder="1" applyAlignment="1">
      <alignment horizontal="right" vertical="center" shrinkToFit="1"/>
    </xf>
    <xf numFmtId="172" fontId="36" fillId="5" borderId="0" xfId="4" applyNumberFormat="1" applyFont="1" applyFill="1" applyBorder="1" applyAlignment="1">
      <alignment horizontal="right" vertical="center" shrinkToFit="1"/>
    </xf>
    <xf numFmtId="172" fontId="34" fillId="8" borderId="0" xfId="4" applyNumberFormat="1" applyFont="1" applyFill="1" applyBorder="1" applyAlignment="1">
      <alignment horizontal="right" vertical="center" shrinkToFit="1"/>
    </xf>
    <xf numFmtId="0" fontId="21" fillId="6" borderId="0" xfId="4" applyFont="1" applyFill="1" applyBorder="1">
      <alignment horizontal="center" vertical="center"/>
    </xf>
    <xf numFmtId="0" fontId="41" fillId="5" borderId="0" xfId="4" applyFont="1" applyFill="1" applyBorder="1" applyAlignment="1">
      <alignment horizontal="right"/>
    </xf>
    <xf numFmtId="0" fontId="41" fillId="8" borderId="0" xfId="4" applyFont="1" applyFill="1" applyBorder="1" applyAlignment="1">
      <alignment horizontal="right"/>
    </xf>
    <xf numFmtId="0" fontId="29" fillId="8" borderId="0" xfId="4" applyFont="1" applyFill="1" applyBorder="1" applyAlignment="1">
      <alignment horizontal="right"/>
    </xf>
    <xf numFmtId="172" fontId="46" fillId="6" borderId="0" xfId="4" applyNumberFormat="1" applyFont="1" applyFill="1" applyBorder="1" applyAlignment="1">
      <alignment horizontal="right" vertical="top" wrapText="1"/>
    </xf>
    <xf numFmtId="0" fontId="4" fillId="0" borderId="1" xfId="1" applyFont="1" applyAlignment="1" applyProtection="1">
      <alignment horizontal="center" vertical="center"/>
    </xf>
  </cellXfs>
  <cellStyles count="9">
    <cellStyle name="Heading 1" xfId="3" builtinId="16"/>
    <cellStyle name="Heading 3" xfId="1" builtinId="18"/>
    <cellStyle name="Normal" xfId="0" builtinId="0"/>
    <cellStyle name="Normal 2" xfId="4"/>
    <cellStyle name="Normal 3" xfId="6"/>
    <cellStyle name="Normal 4" xfId="8"/>
    <cellStyle name="Normal_BaileySheet.xls" xfId="2"/>
    <cellStyle name="Style 1" xfId="7"/>
    <cellStyle name="User" xfId="5"/>
  </cellStyles>
  <dxfs count="0"/>
  <tableStyles count="0" defaultTableStyle="TableStyleMedium9" defaultPivotStyle="PivotStyleLight16"/>
  <colors>
    <mruColors>
      <color rgb="FFFF3737"/>
      <color rgb="FFE20000"/>
      <color rgb="FF32FABC"/>
      <color rgb="FF37FF37"/>
      <color rgb="FF00A800"/>
      <color rgb="FF007400"/>
      <color rgb="FFFFCDCD"/>
      <color rgb="FFFF0066"/>
      <color rgb="FF79FF79"/>
      <color rgb="FF89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8.6907763056584205E-4"/>
          <c:w val="0.99233940454412894"/>
          <c:h val="0.99826184473886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ChartData!$F$37</c:f>
              <c:strCache>
                <c:ptCount val="1"/>
                <c:pt idx="0">
                  <c:v>M3 ¢ </c:v>
                </c:pt>
              </c:strCache>
            </c:strRef>
          </c:tx>
          <c:spPr>
            <a:gradFill flip="none" rotWithShape="1">
              <a:gsLst>
                <a:gs pos="0">
                  <a:srgbClr val="FF0000"/>
                </a:gs>
                <a:gs pos="50000">
                  <a:srgbClr val="FF6699">
                    <a:alpha val="75000"/>
                  </a:srgbClr>
                </a:gs>
                <a:gs pos="100000">
                  <a:srgbClr val="FF0000"/>
                </a:gs>
              </a:gsLst>
              <a:lin ang="5400000" scaled="1"/>
              <a:tileRect/>
            </a:gradFill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ChartData!$F$38:$F$50</c:f>
              <c:numCache>
                <c:formatCode>0.00</c:formatCode>
                <c:ptCount val="13"/>
                <c:pt idx="0">
                  <c:v>2.7442861351655967</c:v>
                </c:pt>
                <c:pt idx="1">
                  <c:v>7.2982861351655677</c:v>
                </c:pt>
                <c:pt idx="2">
                  <c:v>7.2552861351654121</c:v>
                </c:pt>
                <c:pt idx="3">
                  <c:v>12.010286135165495</c:v>
                </c:pt>
                <c:pt idx="4">
                  <c:v>16.829286135165443</c:v>
                </c:pt>
                <c:pt idx="5">
                  <c:v>16.774286135165937</c:v>
                </c:pt>
                <c:pt idx="6">
                  <c:v>21.517286135165563</c:v>
                </c:pt>
                <c:pt idx="7">
                  <c:v>21.462286135164863</c:v>
                </c:pt>
                <c:pt idx="8">
                  <c:v>21.485286135165317</c:v>
                </c:pt>
                <c:pt idx="9">
                  <c:v>16.986286135165365</c:v>
                </c:pt>
                <c:pt idx="10">
                  <c:v>12.28628613516565</c:v>
                </c:pt>
                <c:pt idx="11">
                  <c:v>7.5862861351655582</c:v>
                </c:pt>
                <c:pt idx="12">
                  <c:v>2.7442861351663637</c:v>
                </c:pt>
              </c:numCache>
            </c:numRef>
          </c:val>
        </c:ser>
        <c:ser>
          <c:idx val="4"/>
          <c:order val="1"/>
          <c:tx>
            <c:strRef>
              <c:f>ChartData!$H$37</c:f>
              <c:strCache>
                <c:ptCount val="1"/>
                <c:pt idx="0">
                  <c:v>m3 ¢</c:v>
                </c:pt>
              </c:strCache>
            </c:strRef>
          </c:tx>
          <c:spPr>
            <a:gradFill flip="none" rotWithShape="1">
              <a:gsLst>
                <a:gs pos="0">
                  <a:srgbClr val="00E200">
                    <a:alpha val="48000"/>
                  </a:srgbClr>
                </a:gs>
                <a:gs pos="50000">
                  <a:srgbClr val="96FF96">
                    <a:alpha val="75000"/>
                  </a:srgbClr>
                </a:gs>
                <a:gs pos="100000">
                  <a:srgbClr val="00E200"/>
                </a:gs>
              </a:gsLst>
              <a:lin ang="5400000" scaled="1"/>
              <a:tileRect/>
            </a:gradFill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ChartData!$H$38:$H$50</c:f>
              <c:numCache>
                <c:formatCode>0.00</c:formatCode>
                <c:ptCount val="13"/>
                <c:pt idx="0">
                  <c:v>-7.2982870005527714</c:v>
                </c:pt>
                <c:pt idx="1">
                  <c:v>-11.953287000552114</c:v>
                </c:pt>
                <c:pt idx="2">
                  <c:v>-12.010287000552198</c:v>
                </c:pt>
                <c:pt idx="3">
                  <c:v>-16.808287000551882</c:v>
                </c:pt>
                <c:pt idx="4">
                  <c:v>-16.829287000552611</c:v>
                </c:pt>
                <c:pt idx="5">
                  <c:v>-21.472287000552463</c:v>
                </c:pt>
                <c:pt idx="6">
                  <c:v>-21.517287000552081</c:v>
                </c:pt>
                <c:pt idx="7">
                  <c:v>-21.441287000552116</c:v>
                </c:pt>
                <c:pt idx="8">
                  <c:v>-21.540287000551725</c:v>
                </c:pt>
                <c:pt idx="9">
                  <c:v>-16.941287000552229</c:v>
                </c:pt>
                <c:pt idx="10">
                  <c:v>-12.341287000552148</c:v>
                </c:pt>
                <c:pt idx="11">
                  <c:v>-7.5422870005525713</c:v>
                </c:pt>
                <c:pt idx="12">
                  <c:v>-7.2982870005525768</c:v>
                </c:pt>
              </c:numCache>
            </c:numRef>
          </c:val>
        </c:ser>
        <c:ser>
          <c:idx val="1"/>
          <c:order val="2"/>
          <c:tx>
            <c:strRef>
              <c:f>ChartData!$J$37</c:f>
              <c:strCache>
                <c:ptCount val="1"/>
                <c:pt idx="0">
                  <c:v>5th ¢</c:v>
                </c:pt>
              </c:strCache>
            </c:strRef>
          </c:tx>
          <c:spPr>
            <a:gradFill flip="none" rotWithShape="1">
              <a:gsLst>
                <a:gs pos="0">
                  <a:srgbClr val="3366FF"/>
                </a:gs>
                <a:gs pos="50000">
                  <a:srgbClr val="3399FF">
                    <a:alpha val="75000"/>
                  </a:srgbClr>
                </a:gs>
                <a:gs pos="100000">
                  <a:srgbClr val="3366FF"/>
                </a:gs>
              </a:gsLst>
              <a:lin ang="5400000" scaled="0"/>
              <a:tileRect/>
            </a:gradFill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ChartData!$J$38:$J$50</c:f>
              <c:numCache>
                <c:formatCode>0.00</c:formatCode>
                <c:ptCount val="13"/>
                <c:pt idx="0">
                  <c:v>-4.554000865386838</c:v>
                </c:pt>
                <c:pt idx="1">
                  <c:v>-4.6550008653865147</c:v>
                </c:pt>
                <c:pt idx="2">
                  <c:v>-4.7550008653868998</c:v>
                </c:pt>
                <c:pt idx="3">
                  <c:v>-4.7980008653862924</c:v>
                </c:pt>
                <c:pt idx="4">
                  <c:v>-8.6538721848522665E-7</c:v>
                </c:pt>
                <c:pt idx="5">
                  <c:v>-4.6980008653866063</c:v>
                </c:pt>
                <c:pt idx="6">
                  <c:v>-8.6538664186845572E-7</c:v>
                </c:pt>
                <c:pt idx="7">
                  <c:v>2.0999134612990474E-2</c:v>
                </c:pt>
                <c:pt idx="8">
                  <c:v>-5.5000865386661532E-2</c:v>
                </c:pt>
                <c:pt idx="9">
                  <c:v>4.4999134612723299E-2</c:v>
                </c:pt>
                <c:pt idx="10">
                  <c:v>-5.5000865386469318E-2</c:v>
                </c:pt>
                <c:pt idx="11">
                  <c:v>4.3999134613262755E-2</c:v>
                </c:pt>
                <c:pt idx="12">
                  <c:v>-4.5540008653866453</c:v>
                </c:pt>
              </c:numCache>
            </c:numRef>
          </c:val>
        </c:ser>
        <c:ser>
          <c:idx val="2"/>
          <c:order val="3"/>
          <c:tx>
            <c:strRef>
              <c:f>ChartData!$G$37</c:f>
              <c:strCache>
                <c:ptCount val="1"/>
                <c:pt idx="0">
                  <c:v>M3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ChartData!$G$38:$G$50</c:f>
              <c:numCache>
                <c:formatCode>0.0;0.0;0.0</c:formatCode>
                <c:ptCount val="13"/>
                <c:pt idx="0">
                  <c:v>1.0424848576599288</c:v>
                </c:pt>
                <c:pt idx="1">
                  <c:v>4.1531879068598982</c:v>
                </c:pt>
                <c:pt idx="2">
                  <c:v>3.0881853603915488</c:v>
                </c:pt>
                <c:pt idx="3">
                  <c:v>7.6576861961409577</c:v>
                </c:pt>
                <c:pt idx="4">
                  <c:v>8.0366088783121086</c:v>
                </c:pt>
                <c:pt idx="5">
                  <c:v>12.015325329689176</c:v>
                </c:pt>
                <c:pt idx="6">
                  <c:v>11.544037273387971</c:v>
                </c:pt>
                <c:pt idx="7">
                  <c:v>8.6357598396249386</c:v>
                </c:pt>
                <c:pt idx="8">
                  <c:v>12.967765101653413</c:v>
                </c:pt>
                <c:pt idx="9">
                  <c:v>7.678997813052888</c:v>
                </c:pt>
                <c:pt idx="10">
                  <c:v>8.3202990003846935</c:v>
                </c:pt>
                <c:pt idx="11">
                  <c:v>3.8477328597339238</c:v>
                </c:pt>
                <c:pt idx="12">
                  <c:v>2.0849697153203124</c:v>
                </c:pt>
              </c:numCache>
            </c:numRef>
          </c:val>
        </c:ser>
        <c:ser>
          <c:idx val="3"/>
          <c:order val="4"/>
          <c:tx>
            <c:strRef>
              <c:f>ChartData!$I$37</c:f>
              <c:strCache>
                <c:ptCount val="1"/>
                <c:pt idx="0">
                  <c:v>m3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ChartData!$I$38:$I$50</c:f>
              <c:numCache>
                <c:formatCode>0.0;0.0;0.0</c:formatCode>
                <c:ptCount val="13"/>
                <c:pt idx="0">
                  <c:v>-4.1531884003588857</c:v>
                </c:pt>
                <c:pt idx="1">
                  <c:v>-10.189572622040941</c:v>
                </c:pt>
                <c:pt idx="2">
                  <c:v>-7.6576867498224601</c:v>
                </c:pt>
                <c:pt idx="3">
                  <c:v>-16.053064507613271</c:v>
                </c:pt>
                <c:pt idx="4">
                  <c:v>-12.054913934341812</c:v>
                </c:pt>
                <c:pt idx="5">
                  <c:v>-23.03949037110624</c:v>
                </c:pt>
                <c:pt idx="6">
                  <c:v>-17.316056602183835</c:v>
                </c:pt>
                <c:pt idx="7">
                  <c:v>-12.941043978805965</c:v>
                </c:pt>
                <c:pt idx="8">
                  <c:v>-19.501133408296027</c:v>
                </c:pt>
                <c:pt idx="9">
                  <c:v>-11.488131609785569</c:v>
                </c:pt>
                <c:pt idx="10">
                  <c:v>-12.536119654243976</c:v>
                </c:pt>
                <c:pt idx="11">
                  <c:v>-5.7381978860416893</c:v>
                </c:pt>
                <c:pt idx="12">
                  <c:v>-8.3063768007177714</c:v>
                </c:pt>
              </c:numCache>
            </c:numRef>
          </c:val>
        </c:ser>
        <c:ser>
          <c:idx val="5"/>
          <c:order val="5"/>
          <c:tx>
            <c:strRef>
              <c:f>ChartData!$K$37</c:f>
              <c:strCache>
                <c:ptCount val="1"/>
                <c:pt idx="0">
                  <c:v>5th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ChartData!$K$38:$K$50</c:f>
              <c:numCache>
                <c:formatCode>0.0;0.0;0.0</c:formatCode>
                <c:ptCount val="13"/>
                <c:pt idx="0">
                  <c:v>-1.0357844455475629</c:v>
                </c:pt>
                <c:pt idx="1">
                  <c:v>-1.5839163047004376</c:v>
                </c:pt>
                <c:pt idx="2">
                  <c:v>-1.2101634836940889</c:v>
                </c:pt>
                <c:pt idx="3">
                  <c:v>-1.8266140853606885</c:v>
                </c:pt>
                <c:pt idx="4">
                  <c:v>-2.4674949372638366E-7</c:v>
                </c:pt>
                <c:pt idx="5">
                  <c:v>-2.006600950628922</c:v>
                </c:pt>
                <c:pt idx="6">
                  <c:v>-2.7684075121214846E-7</c:v>
                </c:pt>
                <c:pt idx="7">
                  <c:v>5.0383122526227453E-3</c:v>
                </c:pt>
                <c:pt idx="8">
                  <c:v>-1.9794302326317847E-2</c:v>
                </c:pt>
                <c:pt idx="9">
                  <c:v>1.2146043917425686E-2</c:v>
                </c:pt>
                <c:pt idx="10">
                  <c:v>-2.2268461466751432E-2</c:v>
                </c:pt>
                <c:pt idx="11">
                  <c:v>1.3360561423723993E-2</c:v>
                </c:pt>
                <c:pt idx="12">
                  <c:v>-2.0715688910950121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0"/>
        <c:overlap val="95"/>
        <c:axId val="887902336"/>
        <c:axId val="887908320"/>
      </c:barChart>
      <c:catAx>
        <c:axId val="88790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87908320"/>
        <c:crosses val="autoZero"/>
        <c:auto val="1"/>
        <c:lblAlgn val="ctr"/>
        <c:lblOffset val="100"/>
        <c:tickMarkSkip val="1"/>
        <c:noMultiLvlLbl val="0"/>
      </c:catAx>
      <c:valAx>
        <c:axId val="887908320"/>
        <c:scaling>
          <c:orientation val="minMax"/>
          <c:max val="25"/>
          <c:min val="-25"/>
        </c:scaling>
        <c:delete val="1"/>
        <c:axPos val="l"/>
        <c:numFmt formatCode="0" sourceLinked="0"/>
        <c:majorTickMark val="out"/>
        <c:minorTickMark val="none"/>
        <c:tickLblPos val="none"/>
        <c:crossAx val="887902336"/>
        <c:crosses val="autoZero"/>
        <c:crossBetween val="between"/>
        <c:majorUnit val="5"/>
        <c:minorUnit val="5"/>
      </c:valAx>
      <c:spPr>
        <a:noFill/>
        <a:ln w="6350" cmpd="sng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12700" cmpd="thickThin">
      <a:solidFill>
        <a:schemeClr val="tx1"/>
      </a:solidFill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Verdana" pitchFamily="34" charset="0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955" r="0.75000000000000955" t="1" header="0.5" footer="0.5"/>
    <c:pageSetup orientation="landscape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247237531787202E-3"/>
          <c:w val="1"/>
          <c:h val="0.99541939130508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ChartData!$F$37</c:f>
              <c:strCache>
                <c:ptCount val="1"/>
                <c:pt idx="0">
                  <c:v>M3 ¢ </c:v>
                </c:pt>
              </c:strCache>
            </c:strRef>
          </c:tx>
          <c:spPr>
            <a:gradFill flip="none" rotWithShape="1">
              <a:gsLst>
                <a:gs pos="0">
                  <a:srgbClr val="D00000"/>
                </a:gs>
                <a:gs pos="50000">
                  <a:srgbClr val="FF3377">
                    <a:alpha val="74902"/>
                  </a:srgbClr>
                </a:gs>
                <a:gs pos="100000">
                  <a:srgbClr val="D00000"/>
                </a:gs>
              </a:gsLst>
              <a:lin ang="5400000" scaled="1"/>
              <a:tileRect/>
            </a:gradFill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ChartData!$F$54:$F$66</c:f>
              <c:numCache>
                <c:formatCode>0.00</c:formatCode>
                <c:ptCount val="13"/>
                <c:pt idx="0">
                  <c:v>16.986286135165365</c:v>
                </c:pt>
                <c:pt idx="1">
                  <c:v>12.28628613516565</c:v>
                </c:pt>
                <c:pt idx="2">
                  <c:v>7.5862861351655582</c:v>
                </c:pt>
                <c:pt idx="3">
                  <c:v>2.7442861351663637</c:v>
                </c:pt>
                <c:pt idx="4">
                  <c:v>7.2982861351655677</c:v>
                </c:pt>
                <c:pt idx="5">
                  <c:v>7.2552861351654121</c:v>
                </c:pt>
                <c:pt idx="6">
                  <c:v>12.010286135165495</c:v>
                </c:pt>
                <c:pt idx="7">
                  <c:v>16.829286135165443</c:v>
                </c:pt>
                <c:pt idx="8">
                  <c:v>16.774286135165937</c:v>
                </c:pt>
                <c:pt idx="9">
                  <c:v>21.517286135165563</c:v>
                </c:pt>
                <c:pt idx="10">
                  <c:v>21.462286135164863</c:v>
                </c:pt>
                <c:pt idx="11">
                  <c:v>21.485286135165317</c:v>
                </c:pt>
                <c:pt idx="12">
                  <c:v>16.986286135165365</c:v>
                </c:pt>
              </c:numCache>
            </c:numRef>
          </c:val>
        </c:ser>
        <c:ser>
          <c:idx val="4"/>
          <c:order val="1"/>
          <c:tx>
            <c:strRef>
              <c:f>ChartData!$H$37</c:f>
              <c:strCache>
                <c:ptCount val="1"/>
                <c:pt idx="0">
                  <c:v>m3 ¢</c:v>
                </c:pt>
              </c:strCache>
            </c:strRef>
          </c:tx>
          <c:spPr>
            <a:gradFill flip="none" rotWithShape="1">
              <a:gsLst>
                <a:gs pos="0">
                  <a:srgbClr val="00A800">
                    <a:alpha val="47451"/>
                  </a:srgbClr>
                </a:gs>
                <a:gs pos="50000">
                  <a:srgbClr val="00D600"/>
                </a:gs>
                <a:gs pos="100000">
                  <a:srgbClr val="00C000"/>
                </a:gs>
              </a:gsLst>
              <a:lin ang="5400000" scaled="1"/>
              <a:tileRect/>
            </a:gradFill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ChartData!$H$54:$H$66</c:f>
              <c:numCache>
                <c:formatCode>0.00</c:formatCode>
                <c:ptCount val="13"/>
                <c:pt idx="0">
                  <c:v>-21.540287000552116</c:v>
                </c:pt>
                <c:pt idx="1">
                  <c:v>-16.941287000552229</c:v>
                </c:pt>
                <c:pt idx="2">
                  <c:v>-12.341287000552148</c:v>
                </c:pt>
                <c:pt idx="3">
                  <c:v>-7.5422870005525713</c:v>
                </c:pt>
                <c:pt idx="4">
                  <c:v>-7.2982870005525768</c:v>
                </c:pt>
                <c:pt idx="5">
                  <c:v>-11.953287000552114</c:v>
                </c:pt>
                <c:pt idx="6">
                  <c:v>-12.010287000552198</c:v>
                </c:pt>
                <c:pt idx="7">
                  <c:v>-16.808287000551882</c:v>
                </c:pt>
                <c:pt idx="8">
                  <c:v>-16.829287000552611</c:v>
                </c:pt>
                <c:pt idx="9">
                  <c:v>-21.472287000552463</c:v>
                </c:pt>
                <c:pt idx="10">
                  <c:v>-21.517287000552081</c:v>
                </c:pt>
                <c:pt idx="11">
                  <c:v>-21.441287000552116</c:v>
                </c:pt>
                <c:pt idx="12">
                  <c:v>-21.540287000551725</c:v>
                </c:pt>
              </c:numCache>
            </c:numRef>
          </c:val>
        </c:ser>
        <c:ser>
          <c:idx val="1"/>
          <c:order val="2"/>
          <c:tx>
            <c:strRef>
              <c:f>ChartData!$J$37</c:f>
              <c:strCache>
                <c:ptCount val="1"/>
                <c:pt idx="0">
                  <c:v>5th ¢</c:v>
                </c:pt>
              </c:strCache>
            </c:strRef>
          </c:tx>
          <c:spPr>
            <a:gradFill flip="none" rotWithShape="1">
              <a:gsLst>
                <a:gs pos="0">
                  <a:srgbClr val="3366FF"/>
                </a:gs>
                <a:gs pos="50000">
                  <a:srgbClr val="3399FF">
                    <a:alpha val="75000"/>
                  </a:srgbClr>
                </a:gs>
                <a:gs pos="100000">
                  <a:srgbClr val="3366FF"/>
                </a:gs>
              </a:gsLst>
              <a:lin ang="5400000" scaled="0"/>
              <a:tileRect/>
            </a:gradFill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ChartData!$J$54:$J$66</c:f>
              <c:numCache>
                <c:formatCode>0.00</c:formatCode>
                <c:ptCount val="13"/>
                <c:pt idx="0">
                  <c:v>-4.554000865386838</c:v>
                </c:pt>
                <c:pt idx="1">
                  <c:v>-4.6550008653865147</c:v>
                </c:pt>
                <c:pt idx="2">
                  <c:v>-4.7550008653868998</c:v>
                </c:pt>
                <c:pt idx="3">
                  <c:v>-4.7980008653862924</c:v>
                </c:pt>
                <c:pt idx="4">
                  <c:v>-8.6538721848522665E-7</c:v>
                </c:pt>
                <c:pt idx="5">
                  <c:v>-4.6980008653866063</c:v>
                </c:pt>
                <c:pt idx="6">
                  <c:v>-8.6538664186845572E-7</c:v>
                </c:pt>
                <c:pt idx="7">
                  <c:v>2.0999134612990474E-2</c:v>
                </c:pt>
                <c:pt idx="8">
                  <c:v>-5.5000865386661532E-2</c:v>
                </c:pt>
                <c:pt idx="9">
                  <c:v>4.4999134612723299E-2</c:v>
                </c:pt>
                <c:pt idx="10">
                  <c:v>-5.5000865386469318E-2</c:v>
                </c:pt>
                <c:pt idx="11">
                  <c:v>4.3999134613262755E-2</c:v>
                </c:pt>
                <c:pt idx="12">
                  <c:v>-4.5540008653866453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0"/>
        <c:overlap val="95"/>
        <c:axId val="887900704"/>
        <c:axId val="887908864"/>
      </c:barChart>
      <c:catAx>
        <c:axId val="887900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87908864"/>
        <c:crosses val="autoZero"/>
        <c:auto val="1"/>
        <c:lblAlgn val="ctr"/>
        <c:lblOffset val="100"/>
        <c:tickMarkSkip val="1"/>
        <c:noMultiLvlLbl val="0"/>
      </c:catAx>
      <c:valAx>
        <c:axId val="887908864"/>
        <c:scaling>
          <c:orientation val="minMax"/>
          <c:max val="25"/>
          <c:min val="-25"/>
        </c:scaling>
        <c:delete val="1"/>
        <c:axPos val="l"/>
        <c:numFmt formatCode="0" sourceLinked="0"/>
        <c:majorTickMark val="out"/>
        <c:minorTickMark val="none"/>
        <c:tickLblPos val="none"/>
        <c:crossAx val="887900704"/>
        <c:crosses val="autoZero"/>
        <c:crossBetween val="between"/>
        <c:majorUnit val="5"/>
        <c:minorUnit val="5"/>
      </c:valAx>
      <c:spPr>
        <a:noFill/>
        <a:ln w="6350" cmpd="sng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12700">
      <a:solidFill>
        <a:sysClr val="windowText" lastClr="000000"/>
      </a:solidFill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988" r="0.75000000000000988" t="1" header="0.5" footer="0.5"/>
    <c:pageSetup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8.6907763056584205E-4"/>
          <c:w val="0.99233940454412894"/>
          <c:h val="0.99826184473886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ChartData!$F$37</c:f>
              <c:strCache>
                <c:ptCount val="1"/>
                <c:pt idx="0">
                  <c:v>M3 ¢ </c:v>
                </c:pt>
              </c:strCache>
            </c:strRef>
          </c:tx>
          <c:spPr>
            <a:gradFill flip="none" rotWithShape="1">
              <a:gsLst>
                <a:gs pos="0">
                  <a:srgbClr val="FF0000"/>
                </a:gs>
                <a:gs pos="50000">
                  <a:srgbClr val="FF6699">
                    <a:alpha val="75000"/>
                  </a:srgbClr>
                </a:gs>
                <a:gs pos="100000">
                  <a:srgbClr val="FF0000"/>
                </a:gs>
              </a:gsLst>
              <a:lin ang="5400000" scaled="1"/>
              <a:tileRect/>
            </a:gradFill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ChartData!$F$38:$F$50</c:f>
              <c:numCache>
                <c:formatCode>0.00</c:formatCode>
                <c:ptCount val="13"/>
                <c:pt idx="0">
                  <c:v>2.7442861351655967</c:v>
                </c:pt>
                <c:pt idx="1">
                  <c:v>7.2982861351655677</c:v>
                </c:pt>
                <c:pt idx="2">
                  <c:v>7.2552861351654121</c:v>
                </c:pt>
                <c:pt idx="3">
                  <c:v>12.010286135165495</c:v>
                </c:pt>
                <c:pt idx="4">
                  <c:v>16.829286135165443</c:v>
                </c:pt>
                <c:pt idx="5">
                  <c:v>16.774286135165937</c:v>
                </c:pt>
                <c:pt idx="6">
                  <c:v>21.517286135165563</c:v>
                </c:pt>
                <c:pt idx="7">
                  <c:v>21.462286135164863</c:v>
                </c:pt>
                <c:pt idx="8">
                  <c:v>21.485286135165317</c:v>
                </c:pt>
                <c:pt idx="9">
                  <c:v>16.986286135165365</c:v>
                </c:pt>
                <c:pt idx="10">
                  <c:v>12.28628613516565</c:v>
                </c:pt>
                <c:pt idx="11">
                  <c:v>7.5862861351655582</c:v>
                </c:pt>
                <c:pt idx="12">
                  <c:v>2.7442861351663637</c:v>
                </c:pt>
              </c:numCache>
            </c:numRef>
          </c:val>
        </c:ser>
        <c:ser>
          <c:idx val="4"/>
          <c:order val="1"/>
          <c:tx>
            <c:strRef>
              <c:f>ChartData!$H$37</c:f>
              <c:strCache>
                <c:ptCount val="1"/>
                <c:pt idx="0">
                  <c:v>m3 ¢</c:v>
                </c:pt>
              </c:strCache>
            </c:strRef>
          </c:tx>
          <c:spPr>
            <a:gradFill flip="none" rotWithShape="1">
              <a:gsLst>
                <a:gs pos="0">
                  <a:srgbClr val="00E200">
                    <a:alpha val="48000"/>
                  </a:srgbClr>
                </a:gs>
                <a:gs pos="50000">
                  <a:srgbClr val="96FF96">
                    <a:alpha val="75000"/>
                  </a:srgbClr>
                </a:gs>
                <a:gs pos="100000">
                  <a:srgbClr val="00E200"/>
                </a:gs>
              </a:gsLst>
              <a:lin ang="5400000" scaled="1"/>
              <a:tileRect/>
            </a:gradFill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ChartData!$H$38:$H$50</c:f>
              <c:numCache>
                <c:formatCode>0.00</c:formatCode>
                <c:ptCount val="13"/>
                <c:pt idx="0">
                  <c:v>-7.2982870005527714</c:v>
                </c:pt>
                <c:pt idx="1">
                  <c:v>-11.953287000552114</c:v>
                </c:pt>
                <c:pt idx="2">
                  <c:v>-12.010287000552198</c:v>
                </c:pt>
                <c:pt idx="3">
                  <c:v>-16.808287000551882</c:v>
                </c:pt>
                <c:pt idx="4">
                  <c:v>-16.829287000552611</c:v>
                </c:pt>
                <c:pt idx="5">
                  <c:v>-21.472287000552463</c:v>
                </c:pt>
                <c:pt idx="6">
                  <c:v>-21.517287000552081</c:v>
                </c:pt>
                <c:pt idx="7">
                  <c:v>-21.441287000552116</c:v>
                </c:pt>
                <c:pt idx="8">
                  <c:v>-21.540287000551725</c:v>
                </c:pt>
                <c:pt idx="9">
                  <c:v>-16.941287000552229</c:v>
                </c:pt>
                <c:pt idx="10">
                  <c:v>-12.341287000552148</c:v>
                </c:pt>
                <c:pt idx="11">
                  <c:v>-7.5422870005525713</c:v>
                </c:pt>
                <c:pt idx="12">
                  <c:v>-7.2982870005525768</c:v>
                </c:pt>
              </c:numCache>
            </c:numRef>
          </c:val>
        </c:ser>
        <c:ser>
          <c:idx val="1"/>
          <c:order val="2"/>
          <c:tx>
            <c:strRef>
              <c:f>ChartData!$J$37</c:f>
              <c:strCache>
                <c:ptCount val="1"/>
                <c:pt idx="0">
                  <c:v>5th ¢</c:v>
                </c:pt>
              </c:strCache>
            </c:strRef>
          </c:tx>
          <c:spPr>
            <a:gradFill flip="none" rotWithShape="1">
              <a:gsLst>
                <a:gs pos="0">
                  <a:srgbClr val="3366FF"/>
                </a:gs>
                <a:gs pos="50000">
                  <a:srgbClr val="3399FF">
                    <a:alpha val="75000"/>
                  </a:srgbClr>
                </a:gs>
                <a:gs pos="100000">
                  <a:srgbClr val="3366FF"/>
                </a:gs>
              </a:gsLst>
              <a:lin ang="5400000" scaled="0"/>
              <a:tileRect/>
            </a:gradFill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ChartData!$J$38:$J$50</c:f>
              <c:numCache>
                <c:formatCode>0.00</c:formatCode>
                <c:ptCount val="13"/>
                <c:pt idx="0">
                  <c:v>-4.554000865386838</c:v>
                </c:pt>
                <c:pt idx="1">
                  <c:v>-4.6550008653865147</c:v>
                </c:pt>
                <c:pt idx="2">
                  <c:v>-4.7550008653868998</c:v>
                </c:pt>
                <c:pt idx="3">
                  <c:v>-4.7980008653862924</c:v>
                </c:pt>
                <c:pt idx="4">
                  <c:v>-8.6538721848522665E-7</c:v>
                </c:pt>
                <c:pt idx="5">
                  <c:v>-4.6980008653866063</c:v>
                </c:pt>
                <c:pt idx="6">
                  <c:v>-8.6538664186845572E-7</c:v>
                </c:pt>
                <c:pt idx="7">
                  <c:v>2.0999134612990474E-2</c:v>
                </c:pt>
                <c:pt idx="8">
                  <c:v>-5.5000865386661532E-2</c:v>
                </c:pt>
                <c:pt idx="9">
                  <c:v>4.4999134612723299E-2</c:v>
                </c:pt>
                <c:pt idx="10">
                  <c:v>-5.5000865386469318E-2</c:v>
                </c:pt>
                <c:pt idx="11">
                  <c:v>4.3999134613262755E-2</c:v>
                </c:pt>
                <c:pt idx="12">
                  <c:v>-4.5540008653866453</c:v>
                </c:pt>
              </c:numCache>
            </c:numRef>
          </c:val>
        </c:ser>
        <c:ser>
          <c:idx val="2"/>
          <c:order val="3"/>
          <c:tx>
            <c:strRef>
              <c:f>ChartData!$G$37</c:f>
              <c:strCache>
                <c:ptCount val="1"/>
                <c:pt idx="0">
                  <c:v>M3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ChartData!$G$38:$G$50</c:f>
              <c:numCache>
                <c:formatCode>0.0;0.0;0.0</c:formatCode>
                <c:ptCount val="13"/>
                <c:pt idx="0">
                  <c:v>1.0424848576599288</c:v>
                </c:pt>
                <c:pt idx="1">
                  <c:v>4.1531879068598982</c:v>
                </c:pt>
                <c:pt idx="2">
                  <c:v>3.0881853603915488</c:v>
                </c:pt>
                <c:pt idx="3">
                  <c:v>7.6576861961409577</c:v>
                </c:pt>
                <c:pt idx="4">
                  <c:v>8.0366088783121086</c:v>
                </c:pt>
                <c:pt idx="5">
                  <c:v>12.015325329689176</c:v>
                </c:pt>
                <c:pt idx="6">
                  <c:v>11.544037273387971</c:v>
                </c:pt>
                <c:pt idx="7">
                  <c:v>8.6357598396249386</c:v>
                </c:pt>
                <c:pt idx="8">
                  <c:v>12.967765101653413</c:v>
                </c:pt>
                <c:pt idx="9">
                  <c:v>7.678997813052888</c:v>
                </c:pt>
                <c:pt idx="10">
                  <c:v>8.3202990003846935</c:v>
                </c:pt>
                <c:pt idx="11">
                  <c:v>3.8477328597339238</c:v>
                </c:pt>
                <c:pt idx="12">
                  <c:v>2.0849697153203124</c:v>
                </c:pt>
              </c:numCache>
            </c:numRef>
          </c:val>
        </c:ser>
        <c:ser>
          <c:idx val="3"/>
          <c:order val="4"/>
          <c:tx>
            <c:strRef>
              <c:f>ChartData!$I$37</c:f>
              <c:strCache>
                <c:ptCount val="1"/>
                <c:pt idx="0">
                  <c:v>m3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ChartData!$I$38:$I$50</c:f>
              <c:numCache>
                <c:formatCode>0.0;0.0;0.0</c:formatCode>
                <c:ptCount val="13"/>
                <c:pt idx="0">
                  <c:v>-4.1531884003588857</c:v>
                </c:pt>
                <c:pt idx="1">
                  <c:v>-10.189572622040941</c:v>
                </c:pt>
                <c:pt idx="2">
                  <c:v>-7.6576867498224601</c:v>
                </c:pt>
                <c:pt idx="3">
                  <c:v>-16.053064507613271</c:v>
                </c:pt>
                <c:pt idx="4">
                  <c:v>-12.054913934341812</c:v>
                </c:pt>
                <c:pt idx="5">
                  <c:v>-23.03949037110624</c:v>
                </c:pt>
                <c:pt idx="6">
                  <c:v>-17.316056602183835</c:v>
                </c:pt>
                <c:pt idx="7">
                  <c:v>-12.941043978805965</c:v>
                </c:pt>
                <c:pt idx="8">
                  <c:v>-19.501133408296027</c:v>
                </c:pt>
                <c:pt idx="9">
                  <c:v>-11.488131609785569</c:v>
                </c:pt>
                <c:pt idx="10">
                  <c:v>-12.536119654243976</c:v>
                </c:pt>
                <c:pt idx="11">
                  <c:v>-5.7381978860416893</c:v>
                </c:pt>
                <c:pt idx="12">
                  <c:v>-8.3063768007177714</c:v>
                </c:pt>
              </c:numCache>
            </c:numRef>
          </c:val>
        </c:ser>
        <c:ser>
          <c:idx val="5"/>
          <c:order val="5"/>
          <c:tx>
            <c:strRef>
              <c:f>ChartData!$K$37</c:f>
              <c:strCache>
                <c:ptCount val="1"/>
                <c:pt idx="0">
                  <c:v>5th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ChartData!$K$38:$K$50</c:f>
              <c:numCache>
                <c:formatCode>0.0;0.0;0.0</c:formatCode>
                <c:ptCount val="13"/>
                <c:pt idx="0">
                  <c:v>-1.0357844455475629</c:v>
                </c:pt>
                <c:pt idx="1">
                  <c:v>-1.5839163047004376</c:v>
                </c:pt>
                <c:pt idx="2">
                  <c:v>-1.2101634836940889</c:v>
                </c:pt>
                <c:pt idx="3">
                  <c:v>-1.8266140853606885</c:v>
                </c:pt>
                <c:pt idx="4">
                  <c:v>-2.4674949372638366E-7</c:v>
                </c:pt>
                <c:pt idx="5">
                  <c:v>-2.006600950628922</c:v>
                </c:pt>
                <c:pt idx="6">
                  <c:v>-2.7684075121214846E-7</c:v>
                </c:pt>
                <c:pt idx="7">
                  <c:v>5.0383122526227453E-3</c:v>
                </c:pt>
                <c:pt idx="8">
                  <c:v>-1.9794302326317847E-2</c:v>
                </c:pt>
                <c:pt idx="9">
                  <c:v>1.2146043917425686E-2</c:v>
                </c:pt>
                <c:pt idx="10">
                  <c:v>-2.2268461466751432E-2</c:v>
                </c:pt>
                <c:pt idx="11">
                  <c:v>1.3360561423723993E-2</c:v>
                </c:pt>
                <c:pt idx="12">
                  <c:v>-2.0715688910950121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0"/>
        <c:overlap val="95"/>
        <c:axId val="887896352"/>
        <c:axId val="887900160"/>
      </c:barChart>
      <c:catAx>
        <c:axId val="887896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87900160"/>
        <c:crosses val="autoZero"/>
        <c:auto val="1"/>
        <c:lblAlgn val="ctr"/>
        <c:lblOffset val="100"/>
        <c:tickMarkSkip val="1"/>
        <c:noMultiLvlLbl val="0"/>
      </c:catAx>
      <c:valAx>
        <c:axId val="887900160"/>
        <c:scaling>
          <c:orientation val="minMax"/>
          <c:max val="50"/>
          <c:min val="-50"/>
        </c:scaling>
        <c:delete val="0"/>
        <c:axPos val="l"/>
        <c:numFmt formatCode="0" sourceLinked="0"/>
        <c:majorTickMark val="out"/>
        <c:minorTickMark val="none"/>
        <c:tickLblPos val="none"/>
        <c:crossAx val="887896352"/>
        <c:crosses val="autoZero"/>
        <c:crossBetween val="between"/>
        <c:majorUnit val="5"/>
        <c:minorUnit val="5"/>
      </c:valAx>
      <c:spPr>
        <a:noFill/>
        <a:ln w="6350" cmpd="sng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12700" cmpd="thickThin">
      <a:solidFill>
        <a:schemeClr val="tx1"/>
      </a:solidFill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Verdana" pitchFamily="34" charset="0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966" r="0.75000000000000966" t="1" header="0.5" footer="0.5"/>
    <c:pageSetup orientation="landscape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2472375317872033E-3"/>
          <c:w val="1"/>
          <c:h val="0.99541939130508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ChartData!$F$37</c:f>
              <c:strCache>
                <c:ptCount val="1"/>
                <c:pt idx="0">
                  <c:v>M3 ¢ </c:v>
                </c:pt>
              </c:strCache>
            </c:strRef>
          </c:tx>
          <c:spPr>
            <a:gradFill flip="none" rotWithShape="1">
              <a:gsLst>
                <a:gs pos="0">
                  <a:srgbClr val="D00000"/>
                </a:gs>
                <a:gs pos="50000">
                  <a:srgbClr val="FF3377">
                    <a:alpha val="74902"/>
                  </a:srgbClr>
                </a:gs>
                <a:gs pos="100000">
                  <a:srgbClr val="D00000"/>
                </a:gs>
              </a:gsLst>
              <a:lin ang="5400000" scaled="1"/>
              <a:tileRect/>
            </a:gradFill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ChartData!$F$54:$F$66</c:f>
              <c:numCache>
                <c:formatCode>0.00</c:formatCode>
                <c:ptCount val="13"/>
                <c:pt idx="0">
                  <c:v>16.986286135165365</c:v>
                </c:pt>
                <c:pt idx="1">
                  <c:v>12.28628613516565</c:v>
                </c:pt>
                <c:pt idx="2">
                  <c:v>7.5862861351655582</c:v>
                </c:pt>
                <c:pt idx="3">
                  <c:v>2.7442861351663637</c:v>
                </c:pt>
                <c:pt idx="4">
                  <c:v>7.2982861351655677</c:v>
                </c:pt>
                <c:pt idx="5">
                  <c:v>7.2552861351654121</c:v>
                </c:pt>
                <c:pt idx="6">
                  <c:v>12.010286135165495</c:v>
                </c:pt>
                <c:pt idx="7">
                  <c:v>16.829286135165443</c:v>
                </c:pt>
                <c:pt idx="8">
                  <c:v>16.774286135165937</c:v>
                </c:pt>
                <c:pt idx="9">
                  <c:v>21.517286135165563</c:v>
                </c:pt>
                <c:pt idx="10">
                  <c:v>21.462286135164863</c:v>
                </c:pt>
                <c:pt idx="11">
                  <c:v>21.485286135165317</c:v>
                </c:pt>
                <c:pt idx="12">
                  <c:v>16.986286135165365</c:v>
                </c:pt>
              </c:numCache>
            </c:numRef>
          </c:val>
        </c:ser>
        <c:ser>
          <c:idx val="4"/>
          <c:order val="1"/>
          <c:tx>
            <c:strRef>
              <c:f>ChartData!$H$37</c:f>
              <c:strCache>
                <c:ptCount val="1"/>
                <c:pt idx="0">
                  <c:v>m3 ¢</c:v>
                </c:pt>
              </c:strCache>
            </c:strRef>
          </c:tx>
          <c:spPr>
            <a:gradFill flip="none" rotWithShape="1">
              <a:gsLst>
                <a:gs pos="0">
                  <a:srgbClr val="00A800">
                    <a:alpha val="47451"/>
                  </a:srgbClr>
                </a:gs>
                <a:gs pos="50000">
                  <a:srgbClr val="00D600"/>
                </a:gs>
                <a:gs pos="100000">
                  <a:srgbClr val="00C000"/>
                </a:gs>
              </a:gsLst>
              <a:lin ang="5400000" scaled="1"/>
              <a:tileRect/>
            </a:gradFill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ChartData!$H$54:$H$66</c:f>
              <c:numCache>
                <c:formatCode>0.00</c:formatCode>
                <c:ptCount val="13"/>
                <c:pt idx="0">
                  <c:v>-21.540287000552116</c:v>
                </c:pt>
                <c:pt idx="1">
                  <c:v>-16.941287000552229</c:v>
                </c:pt>
                <c:pt idx="2">
                  <c:v>-12.341287000552148</c:v>
                </c:pt>
                <c:pt idx="3">
                  <c:v>-7.5422870005525713</c:v>
                </c:pt>
                <c:pt idx="4">
                  <c:v>-7.2982870005525768</c:v>
                </c:pt>
                <c:pt idx="5">
                  <c:v>-11.953287000552114</c:v>
                </c:pt>
                <c:pt idx="6">
                  <c:v>-12.010287000552198</c:v>
                </c:pt>
                <c:pt idx="7">
                  <c:v>-16.808287000551882</c:v>
                </c:pt>
                <c:pt idx="8">
                  <c:v>-16.829287000552611</c:v>
                </c:pt>
                <c:pt idx="9">
                  <c:v>-21.472287000552463</c:v>
                </c:pt>
                <c:pt idx="10">
                  <c:v>-21.517287000552081</c:v>
                </c:pt>
                <c:pt idx="11">
                  <c:v>-21.441287000552116</c:v>
                </c:pt>
                <c:pt idx="12">
                  <c:v>-21.540287000551725</c:v>
                </c:pt>
              </c:numCache>
            </c:numRef>
          </c:val>
        </c:ser>
        <c:ser>
          <c:idx val="1"/>
          <c:order val="2"/>
          <c:tx>
            <c:strRef>
              <c:f>ChartData!$J$37</c:f>
              <c:strCache>
                <c:ptCount val="1"/>
                <c:pt idx="0">
                  <c:v>5th ¢</c:v>
                </c:pt>
              </c:strCache>
            </c:strRef>
          </c:tx>
          <c:spPr>
            <a:gradFill flip="none" rotWithShape="1">
              <a:gsLst>
                <a:gs pos="0">
                  <a:srgbClr val="3366FF"/>
                </a:gs>
                <a:gs pos="50000">
                  <a:srgbClr val="3399FF">
                    <a:alpha val="75000"/>
                  </a:srgbClr>
                </a:gs>
                <a:gs pos="100000">
                  <a:srgbClr val="3366FF"/>
                </a:gs>
              </a:gsLst>
              <a:lin ang="5400000" scaled="0"/>
              <a:tileRect/>
            </a:gradFill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ChartData!$J$54:$J$66</c:f>
              <c:numCache>
                <c:formatCode>0.00</c:formatCode>
                <c:ptCount val="13"/>
                <c:pt idx="0">
                  <c:v>-4.554000865386838</c:v>
                </c:pt>
                <c:pt idx="1">
                  <c:v>-4.6550008653865147</c:v>
                </c:pt>
                <c:pt idx="2">
                  <c:v>-4.7550008653868998</c:v>
                </c:pt>
                <c:pt idx="3">
                  <c:v>-4.7980008653862924</c:v>
                </c:pt>
                <c:pt idx="4">
                  <c:v>-8.6538721848522665E-7</c:v>
                </c:pt>
                <c:pt idx="5">
                  <c:v>-4.6980008653866063</c:v>
                </c:pt>
                <c:pt idx="6">
                  <c:v>-8.6538664186845572E-7</c:v>
                </c:pt>
                <c:pt idx="7">
                  <c:v>2.0999134612990474E-2</c:v>
                </c:pt>
                <c:pt idx="8">
                  <c:v>-5.5000865386661532E-2</c:v>
                </c:pt>
                <c:pt idx="9">
                  <c:v>4.4999134612723299E-2</c:v>
                </c:pt>
                <c:pt idx="10">
                  <c:v>-5.5000865386469318E-2</c:v>
                </c:pt>
                <c:pt idx="11">
                  <c:v>4.3999134613262755E-2</c:v>
                </c:pt>
                <c:pt idx="12">
                  <c:v>-4.5540008653866453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0"/>
        <c:overlap val="95"/>
        <c:axId val="887901792"/>
        <c:axId val="630307056"/>
      </c:barChart>
      <c:catAx>
        <c:axId val="887901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30307056"/>
        <c:crosses val="autoZero"/>
        <c:auto val="1"/>
        <c:lblAlgn val="ctr"/>
        <c:lblOffset val="100"/>
        <c:tickMarkSkip val="1"/>
        <c:noMultiLvlLbl val="0"/>
      </c:catAx>
      <c:valAx>
        <c:axId val="630307056"/>
        <c:scaling>
          <c:orientation val="minMax"/>
          <c:max val="50"/>
          <c:min val="-50"/>
        </c:scaling>
        <c:delete val="0"/>
        <c:axPos val="l"/>
        <c:numFmt formatCode="0" sourceLinked="0"/>
        <c:majorTickMark val="out"/>
        <c:minorTickMark val="none"/>
        <c:tickLblPos val="none"/>
        <c:crossAx val="887901792"/>
        <c:crosses val="autoZero"/>
        <c:crossBetween val="between"/>
        <c:majorUnit val="5"/>
        <c:minorUnit val="5"/>
      </c:valAx>
      <c:spPr>
        <a:noFill/>
        <a:ln w="6350" cmpd="sng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12700">
      <a:solidFill>
        <a:sysClr val="windowText" lastClr="000000"/>
      </a:solidFill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999" r="0.75000000000000999" t="1" header="0.5" footer="0.5"/>
    <c:pageSetup orientation="landscape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ChartData!$C$11</c:f>
          <c:strCache>
            <c:ptCount val="1"/>
            <c:pt idx="0">
              <c:v>Dr. Herbert Anton Kellner (Wohltemperirt/Bach, 1978)</c:v>
            </c:pt>
          </c:strCache>
        </c:strRef>
      </c:tx>
      <c:layout>
        <c:manualLayout>
          <c:xMode val="edge"/>
          <c:yMode val="edge"/>
          <c:x val="1.1139767708677141E-2"/>
          <c:y val="7.6818734877364021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3928404181307"/>
          <c:y val="0.12900776001605474"/>
          <c:w val="0.79813616860766234"/>
          <c:h val="0.52124097470952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ChartData!$F$37</c:f>
              <c:strCache>
                <c:ptCount val="1"/>
                <c:pt idx="0">
                  <c:v>M3 ¢ </c:v>
                </c:pt>
              </c:strCache>
            </c:strRef>
          </c:tx>
          <c:spPr>
            <a:gradFill flip="none" rotWithShape="1">
              <a:gsLst>
                <a:gs pos="0">
                  <a:srgbClr val="C00000"/>
                </a:gs>
                <a:gs pos="50000">
                  <a:srgbClr val="FF0000"/>
                </a:gs>
                <a:gs pos="100000">
                  <a:srgbClr val="C00000"/>
                </a:gs>
              </a:gsLst>
              <a:lin ang="5400000" scaled="1"/>
              <a:tileRect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00"/>
                      <a:t>CE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00"/>
                      <a:t>GB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00"/>
                      <a:t>DF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000"/>
                      <a:t>AC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000"/>
                      <a:t>EG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000"/>
                      <a:t>BD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000"/>
                      <a:t>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F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000"/>
                      <a:t>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C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000"/>
                      <a:t>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G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1000"/>
                      <a:t>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D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1000"/>
                      <a:t>FA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sz="1000"/>
                      <a:t>CE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FF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ChartData!$F$38:$F$50</c:f>
              <c:numCache>
                <c:formatCode>0.00</c:formatCode>
                <c:ptCount val="13"/>
                <c:pt idx="0">
                  <c:v>2.7442861351655967</c:v>
                </c:pt>
                <c:pt idx="1">
                  <c:v>7.2982861351655677</c:v>
                </c:pt>
                <c:pt idx="2">
                  <c:v>7.2552861351654121</c:v>
                </c:pt>
                <c:pt idx="3">
                  <c:v>12.010286135165495</c:v>
                </c:pt>
                <c:pt idx="4">
                  <c:v>16.829286135165443</c:v>
                </c:pt>
                <c:pt idx="5">
                  <c:v>16.774286135165937</c:v>
                </c:pt>
                <c:pt idx="6">
                  <c:v>21.517286135165563</c:v>
                </c:pt>
                <c:pt idx="7">
                  <c:v>21.462286135164863</c:v>
                </c:pt>
                <c:pt idx="8">
                  <c:v>21.485286135165317</c:v>
                </c:pt>
                <c:pt idx="9">
                  <c:v>16.986286135165365</c:v>
                </c:pt>
                <c:pt idx="10">
                  <c:v>12.28628613516565</c:v>
                </c:pt>
                <c:pt idx="11">
                  <c:v>7.5862861351655582</c:v>
                </c:pt>
                <c:pt idx="12">
                  <c:v>2.7442861351663637</c:v>
                </c:pt>
              </c:numCache>
            </c:numRef>
          </c:val>
        </c:ser>
        <c:ser>
          <c:idx val="4"/>
          <c:order val="1"/>
          <c:tx>
            <c:strRef>
              <c:f>ChartData!$H$37</c:f>
              <c:strCache>
                <c:ptCount val="1"/>
                <c:pt idx="0">
                  <c:v>m3 ¢</c:v>
                </c:pt>
              </c:strCache>
            </c:strRef>
          </c:tx>
          <c:spPr>
            <a:gradFill flip="none" rotWithShape="1">
              <a:gsLst>
                <a:gs pos="0">
                  <a:srgbClr val="89FF89">
                    <a:alpha val="23922"/>
                  </a:srgbClr>
                </a:gs>
                <a:gs pos="50000">
                  <a:srgbClr val="96FF96">
                    <a:alpha val="75000"/>
                  </a:srgbClr>
                </a:gs>
                <a:gs pos="100000">
                  <a:srgbClr val="79FF79"/>
                </a:gs>
              </a:gsLst>
              <a:lin ang="5400000" scaled="1"/>
              <a:tileRect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00"/>
                      <a:t>EG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00"/>
                      <a:t>BD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00"/>
                      <a:t>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A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E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000"/>
                      <a:t>G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B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000"/>
                      <a:t>D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000"/>
                      <a:t>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000"/>
                      <a:t>FG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000"/>
                      <a:t>CE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000"/>
                      <a:t>GB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1000"/>
                      <a:t>DF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1000"/>
                      <a:t>AC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sz="1000"/>
                      <a:t>EG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9966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ChartData!$H$38:$H$50</c:f>
              <c:numCache>
                <c:formatCode>0.00</c:formatCode>
                <c:ptCount val="13"/>
                <c:pt idx="0">
                  <c:v>-7.2982870005527714</c:v>
                </c:pt>
                <c:pt idx="1">
                  <c:v>-11.953287000552114</c:v>
                </c:pt>
                <c:pt idx="2">
                  <c:v>-12.010287000552198</c:v>
                </c:pt>
                <c:pt idx="3">
                  <c:v>-16.808287000551882</c:v>
                </c:pt>
                <c:pt idx="4">
                  <c:v>-16.829287000552611</c:v>
                </c:pt>
                <c:pt idx="5">
                  <c:v>-21.472287000552463</c:v>
                </c:pt>
                <c:pt idx="6">
                  <c:v>-21.517287000552081</c:v>
                </c:pt>
                <c:pt idx="7">
                  <c:v>-21.441287000552116</c:v>
                </c:pt>
                <c:pt idx="8">
                  <c:v>-21.540287000551725</c:v>
                </c:pt>
                <c:pt idx="9">
                  <c:v>-16.941287000552229</c:v>
                </c:pt>
                <c:pt idx="10">
                  <c:v>-12.341287000552148</c:v>
                </c:pt>
                <c:pt idx="11">
                  <c:v>-7.5422870005525713</c:v>
                </c:pt>
                <c:pt idx="12">
                  <c:v>-7.2982870005525768</c:v>
                </c:pt>
              </c:numCache>
            </c:numRef>
          </c:val>
        </c:ser>
        <c:ser>
          <c:idx val="1"/>
          <c:order val="2"/>
          <c:tx>
            <c:strRef>
              <c:f>ChartData!$J$37</c:f>
              <c:strCache>
                <c:ptCount val="1"/>
                <c:pt idx="0">
                  <c:v>5th ¢</c:v>
                </c:pt>
              </c:strCache>
            </c:strRef>
          </c:tx>
          <c:spPr>
            <a:gradFill flip="none" rotWithShape="1">
              <a:gsLst>
                <a:gs pos="0">
                  <a:srgbClr val="3366FF"/>
                </a:gs>
                <a:gs pos="50000">
                  <a:srgbClr val="3399FF">
                    <a:alpha val="75000"/>
                  </a:srgbClr>
                </a:gs>
                <a:gs pos="100000">
                  <a:srgbClr val="3366FF"/>
                </a:gs>
              </a:gsLst>
              <a:lin ang="5400000" scaled="0"/>
              <a:tileRect/>
            </a:gradFill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ChartData!$J$38:$J$50</c:f>
              <c:numCache>
                <c:formatCode>0.00</c:formatCode>
                <c:ptCount val="13"/>
                <c:pt idx="0">
                  <c:v>-4.554000865386838</c:v>
                </c:pt>
                <c:pt idx="1">
                  <c:v>-4.6550008653865147</c:v>
                </c:pt>
                <c:pt idx="2">
                  <c:v>-4.7550008653868998</c:v>
                </c:pt>
                <c:pt idx="3">
                  <c:v>-4.7980008653862924</c:v>
                </c:pt>
                <c:pt idx="4">
                  <c:v>-8.6538721848522665E-7</c:v>
                </c:pt>
                <c:pt idx="5">
                  <c:v>-4.6980008653866063</c:v>
                </c:pt>
                <c:pt idx="6">
                  <c:v>-8.6538664186845572E-7</c:v>
                </c:pt>
                <c:pt idx="7">
                  <c:v>2.0999134612990474E-2</c:v>
                </c:pt>
                <c:pt idx="8">
                  <c:v>-5.5000865386661532E-2</c:v>
                </c:pt>
                <c:pt idx="9">
                  <c:v>4.4999134612723299E-2</c:v>
                </c:pt>
                <c:pt idx="10">
                  <c:v>-5.5000865386469318E-2</c:v>
                </c:pt>
                <c:pt idx="11">
                  <c:v>4.3999134613262755E-2</c:v>
                </c:pt>
                <c:pt idx="12">
                  <c:v>-4.5540008653866453</c:v>
                </c:pt>
              </c:numCache>
            </c:numRef>
          </c:val>
        </c:ser>
        <c:ser>
          <c:idx val="2"/>
          <c:order val="3"/>
          <c:tx>
            <c:strRef>
              <c:f>ChartData!$G$37</c:f>
              <c:strCache>
                <c:ptCount val="1"/>
                <c:pt idx="0">
                  <c:v>M3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numFmt formatCode="0.0;0.0;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8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ChartData!$G$38:$G$50</c:f>
              <c:numCache>
                <c:formatCode>0.0;0.0;0.0</c:formatCode>
                <c:ptCount val="13"/>
                <c:pt idx="0">
                  <c:v>1.0424848576599288</c:v>
                </c:pt>
                <c:pt idx="1">
                  <c:v>4.1531879068598982</c:v>
                </c:pt>
                <c:pt idx="2">
                  <c:v>3.0881853603915488</c:v>
                </c:pt>
                <c:pt idx="3">
                  <c:v>7.6576861961409577</c:v>
                </c:pt>
                <c:pt idx="4">
                  <c:v>8.0366088783121086</c:v>
                </c:pt>
                <c:pt idx="5">
                  <c:v>12.015325329689176</c:v>
                </c:pt>
                <c:pt idx="6">
                  <c:v>11.544037273387971</c:v>
                </c:pt>
                <c:pt idx="7">
                  <c:v>8.6357598396249386</c:v>
                </c:pt>
                <c:pt idx="8">
                  <c:v>12.967765101653413</c:v>
                </c:pt>
                <c:pt idx="9">
                  <c:v>7.678997813052888</c:v>
                </c:pt>
                <c:pt idx="10">
                  <c:v>8.3202990003846935</c:v>
                </c:pt>
                <c:pt idx="11">
                  <c:v>3.8477328597339238</c:v>
                </c:pt>
                <c:pt idx="12">
                  <c:v>2.0849697153203124</c:v>
                </c:pt>
              </c:numCache>
            </c:numRef>
          </c:val>
        </c:ser>
        <c:ser>
          <c:idx val="3"/>
          <c:order val="4"/>
          <c:tx>
            <c:strRef>
              <c:f>ChartData!$I$37</c:f>
              <c:strCache>
                <c:ptCount val="1"/>
                <c:pt idx="0">
                  <c:v>m3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numFmt formatCode="0.0;0.0;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66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ChartData!$I$38:$I$50</c:f>
              <c:numCache>
                <c:formatCode>0.0;0.0;0.0</c:formatCode>
                <c:ptCount val="13"/>
                <c:pt idx="0">
                  <c:v>-4.1531884003588857</c:v>
                </c:pt>
                <c:pt idx="1">
                  <c:v>-10.189572622040941</c:v>
                </c:pt>
                <c:pt idx="2">
                  <c:v>-7.6576867498224601</c:v>
                </c:pt>
                <c:pt idx="3">
                  <c:v>-16.053064507613271</c:v>
                </c:pt>
                <c:pt idx="4">
                  <c:v>-12.054913934341812</c:v>
                </c:pt>
                <c:pt idx="5">
                  <c:v>-23.03949037110624</c:v>
                </c:pt>
                <c:pt idx="6">
                  <c:v>-17.316056602183835</c:v>
                </c:pt>
                <c:pt idx="7">
                  <c:v>-12.941043978805965</c:v>
                </c:pt>
                <c:pt idx="8">
                  <c:v>-19.501133408296027</c:v>
                </c:pt>
                <c:pt idx="9">
                  <c:v>-11.488131609785569</c:v>
                </c:pt>
                <c:pt idx="10">
                  <c:v>-12.536119654243976</c:v>
                </c:pt>
                <c:pt idx="11">
                  <c:v>-5.7381978860416893</c:v>
                </c:pt>
                <c:pt idx="12">
                  <c:v>-8.3063768007177714</c:v>
                </c:pt>
              </c:numCache>
            </c:numRef>
          </c:val>
        </c:ser>
        <c:ser>
          <c:idx val="5"/>
          <c:order val="5"/>
          <c:tx>
            <c:strRef>
              <c:f>ChartData!$K$37</c:f>
              <c:strCache>
                <c:ptCount val="1"/>
                <c:pt idx="0">
                  <c:v>5th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00"/>
                      <a:t>CG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00"/>
                      <a:t>GD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00"/>
                      <a:t>DA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000"/>
                      <a:t>AE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000"/>
                      <a:t>EB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000"/>
                      <a:t>BF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000"/>
                      <a:t>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G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000"/>
                      <a:t>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000"/>
                      <a:t>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1000"/>
                      <a:t>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F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1000"/>
                      <a:t>FC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sz="1000"/>
                      <a:t>CG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8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ChartData!$K$38:$K$50</c:f>
              <c:numCache>
                <c:formatCode>0.0;0.0;0.0</c:formatCode>
                <c:ptCount val="13"/>
                <c:pt idx="0">
                  <c:v>-1.0357844455475629</c:v>
                </c:pt>
                <c:pt idx="1">
                  <c:v>-1.5839163047004376</c:v>
                </c:pt>
                <c:pt idx="2">
                  <c:v>-1.2101634836940889</c:v>
                </c:pt>
                <c:pt idx="3">
                  <c:v>-1.8266140853606885</c:v>
                </c:pt>
                <c:pt idx="4">
                  <c:v>-2.4674949372638366E-7</c:v>
                </c:pt>
                <c:pt idx="5">
                  <c:v>-2.006600950628922</c:v>
                </c:pt>
                <c:pt idx="6">
                  <c:v>-2.7684075121214846E-7</c:v>
                </c:pt>
                <c:pt idx="7">
                  <c:v>5.0383122526227453E-3</c:v>
                </c:pt>
                <c:pt idx="8">
                  <c:v>-1.9794302326317847E-2</c:v>
                </c:pt>
                <c:pt idx="9">
                  <c:v>1.2146043917425686E-2</c:v>
                </c:pt>
                <c:pt idx="10">
                  <c:v>-2.2268461466751432E-2</c:v>
                </c:pt>
                <c:pt idx="11">
                  <c:v>1.3360561423723993E-2</c:v>
                </c:pt>
                <c:pt idx="12">
                  <c:v>-2.0715688910950121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0"/>
        <c:overlap val="95"/>
        <c:axId val="630309232"/>
        <c:axId val="934451936"/>
      </c:barChart>
      <c:catAx>
        <c:axId val="63030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34451936"/>
        <c:crosses val="autoZero"/>
        <c:auto val="1"/>
        <c:lblAlgn val="ctr"/>
        <c:lblOffset val="100"/>
        <c:tickMarkSkip val="1"/>
        <c:noMultiLvlLbl val="0"/>
      </c:catAx>
      <c:valAx>
        <c:axId val="934451936"/>
        <c:scaling>
          <c:orientation val="minMax"/>
          <c:max val="25"/>
          <c:min val="-2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0309232"/>
        <c:crosses val="autoZero"/>
        <c:crossBetween val="between"/>
        <c:majorUnit val="5"/>
        <c:minorUnit val="5"/>
      </c:valAx>
      <c:spPr>
        <a:noFill/>
        <a:ln w="6350" cmpd="sng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955" r="0.75000000000000955" t="1" header="0.5" footer="0.5"/>
    <c:pageSetup orientation="landscape" horizontalDpi="-4" vertic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ChartData!$C$11</c:f>
          <c:strCache>
            <c:ptCount val="1"/>
            <c:pt idx="0">
              <c:v>Dr. Herbert Anton Kellner (Wohltemperirt/Bach, 1978)</c:v>
            </c:pt>
          </c:strCache>
        </c:strRef>
      </c:tx>
      <c:layout>
        <c:manualLayout>
          <c:xMode val="edge"/>
          <c:yMode val="edge"/>
          <c:x val="1.1139767708677141E-2"/>
          <c:y val="9.371776543187574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0">
            <a:defRPr lang="en-US" sz="1150" b="1" i="0" u="none" strike="noStrike" kern="1200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3928363745063"/>
          <c:y val="0.13238369600972899"/>
          <c:w val="0.79813616860766234"/>
          <c:h val="0.521240974624281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ChartData!$F$37</c:f>
              <c:strCache>
                <c:ptCount val="1"/>
                <c:pt idx="0">
                  <c:v>M3 ¢ </c:v>
                </c:pt>
              </c:strCache>
            </c:strRef>
          </c:tx>
          <c:spPr>
            <a:gradFill flip="none" rotWithShape="1">
              <a:gsLst>
                <a:gs pos="0">
                  <a:srgbClr val="E20000">
                    <a:alpha val="24000"/>
                  </a:srgbClr>
                </a:gs>
                <a:gs pos="16000">
                  <a:srgbClr val="FF3377">
                    <a:alpha val="20000"/>
                  </a:srgbClr>
                </a:gs>
                <a:gs pos="100000">
                  <a:srgbClr val="FF3737"/>
                </a:gs>
              </a:gsLst>
              <a:lin ang="5400000" scaled="1"/>
              <a:tileRect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00"/>
                      <a:t>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G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00"/>
                      <a:t>B</a:t>
                    </a:r>
                    <a:r>
                      <a:rPr lang="en-US" sz="1000" b="1" i="0" u="none" strike="noStrike" baseline="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D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00"/>
                      <a:t>FA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000"/>
                      <a:t>CE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000"/>
                      <a:t>GB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000"/>
                      <a:t>DF</a:t>
                    </a:r>
                    <a:r>
                      <a:rPr lang="en-US" sz="1000" b="1" i="0" u="none" strike="noStrike" baseline="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>
                      <a:latin typeface="Arial Unicode MS" pitchFamily="34" charset="-128"/>
                      <a:ea typeface="Arial Unicode MS" pitchFamily="34" charset="-128"/>
                      <a:cs typeface="Arial Unicode MS" pitchFamily="34" charset="-128"/>
                    </a:endParaRP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000"/>
                      <a:t>AC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000"/>
                      <a:t>EG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000"/>
                      <a:t>BE</a:t>
                    </a:r>
                    <a:r>
                      <a:rPr lang="en-US" sz="1000" b="1" i="0" u="none" strike="noStrike" baseline="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000"/>
                      <a:t>G</a:t>
                    </a:r>
                    <a:r>
                      <a:rPr lang="en-US" sz="1000" b="1" i="0" u="none" strike="noStrike" baseline="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B</a:t>
                    </a:r>
                    <a:r>
                      <a:rPr lang="en-US" sz="1000" b="1" i="0" u="none" strike="noStrike" baseline="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1000"/>
                      <a:t>D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F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1000"/>
                      <a:t>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C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sz="1000"/>
                      <a:t>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G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FF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ChartData!$F$54:$F$66</c:f>
              <c:numCache>
                <c:formatCode>0.00</c:formatCode>
                <c:ptCount val="13"/>
                <c:pt idx="0">
                  <c:v>16.986286135165365</c:v>
                </c:pt>
                <c:pt idx="1">
                  <c:v>12.28628613516565</c:v>
                </c:pt>
                <c:pt idx="2">
                  <c:v>7.5862861351655582</c:v>
                </c:pt>
                <c:pt idx="3">
                  <c:v>2.7442861351663637</c:v>
                </c:pt>
                <c:pt idx="4">
                  <c:v>7.2982861351655677</c:v>
                </c:pt>
                <c:pt idx="5">
                  <c:v>7.2552861351654121</c:v>
                </c:pt>
                <c:pt idx="6">
                  <c:v>12.010286135165495</c:v>
                </c:pt>
                <c:pt idx="7">
                  <c:v>16.829286135165443</c:v>
                </c:pt>
                <c:pt idx="8">
                  <c:v>16.774286135165937</c:v>
                </c:pt>
                <c:pt idx="9">
                  <c:v>21.517286135165563</c:v>
                </c:pt>
                <c:pt idx="10">
                  <c:v>21.462286135164863</c:v>
                </c:pt>
                <c:pt idx="11">
                  <c:v>21.485286135165317</c:v>
                </c:pt>
                <c:pt idx="12">
                  <c:v>16.986286135165365</c:v>
                </c:pt>
              </c:numCache>
            </c:numRef>
          </c:val>
        </c:ser>
        <c:ser>
          <c:idx val="4"/>
          <c:order val="1"/>
          <c:tx>
            <c:strRef>
              <c:f>ChartData!$H$37</c:f>
              <c:strCache>
                <c:ptCount val="1"/>
                <c:pt idx="0">
                  <c:v>m3 ¢</c:v>
                </c:pt>
              </c:strCache>
            </c:strRef>
          </c:tx>
          <c:spPr>
            <a:gradFill flip="none" rotWithShape="1">
              <a:gsLst>
                <a:gs pos="0">
                  <a:srgbClr val="00A800"/>
                </a:gs>
                <a:gs pos="49000">
                  <a:srgbClr val="37FF37"/>
                </a:gs>
                <a:gs pos="100000">
                  <a:srgbClr val="00A800"/>
                </a:gs>
              </a:gsLst>
              <a:lin ang="5400000" scaled="1"/>
              <a:tileRect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00"/>
                      <a:t>CE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00"/>
                      <a:t>GB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00"/>
                      <a:t>DF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000"/>
                      <a:t>AC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000"/>
                      <a:t>EG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000"/>
                      <a:t>BD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000"/>
                      <a:t>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A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E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000"/>
                      <a:t>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B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000"/>
                      <a:t>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G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1000"/>
                      <a:t>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D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1000"/>
                      <a:t>FA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sz="1000"/>
                      <a:t>CE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9966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ChartData!$H$54:$H$66</c:f>
              <c:numCache>
                <c:formatCode>0.00</c:formatCode>
                <c:ptCount val="13"/>
                <c:pt idx="0">
                  <c:v>-21.540287000552116</c:v>
                </c:pt>
                <c:pt idx="1">
                  <c:v>-16.941287000552229</c:v>
                </c:pt>
                <c:pt idx="2">
                  <c:v>-12.341287000552148</c:v>
                </c:pt>
                <c:pt idx="3">
                  <c:v>-7.5422870005525713</c:v>
                </c:pt>
                <c:pt idx="4">
                  <c:v>-7.2982870005525768</c:v>
                </c:pt>
                <c:pt idx="5">
                  <c:v>-11.953287000552114</c:v>
                </c:pt>
                <c:pt idx="6">
                  <c:v>-12.010287000552198</c:v>
                </c:pt>
                <c:pt idx="7">
                  <c:v>-16.808287000551882</c:v>
                </c:pt>
                <c:pt idx="8">
                  <c:v>-16.829287000552611</c:v>
                </c:pt>
                <c:pt idx="9">
                  <c:v>-21.472287000552463</c:v>
                </c:pt>
                <c:pt idx="10">
                  <c:v>-21.517287000552081</c:v>
                </c:pt>
                <c:pt idx="11">
                  <c:v>-21.441287000552116</c:v>
                </c:pt>
                <c:pt idx="12">
                  <c:v>-21.540287000551725</c:v>
                </c:pt>
              </c:numCache>
            </c:numRef>
          </c:val>
        </c:ser>
        <c:ser>
          <c:idx val="1"/>
          <c:order val="2"/>
          <c:tx>
            <c:strRef>
              <c:f>ChartData!$J$37</c:f>
              <c:strCache>
                <c:ptCount val="1"/>
                <c:pt idx="0">
                  <c:v>5th ¢</c:v>
                </c:pt>
              </c:strCache>
            </c:strRef>
          </c:tx>
          <c:spPr>
            <a:gradFill flip="none" rotWithShape="1">
              <a:gsLst>
                <a:gs pos="0">
                  <a:srgbClr val="3366FF"/>
                </a:gs>
                <a:gs pos="50000">
                  <a:srgbClr val="3399FF">
                    <a:alpha val="75000"/>
                  </a:srgbClr>
                </a:gs>
                <a:gs pos="100000">
                  <a:srgbClr val="3366FF"/>
                </a:gs>
              </a:gsLst>
              <a:lin ang="5400000" scaled="0"/>
              <a:tileRect/>
            </a:gradFill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ChartData!$J$54:$J$66</c:f>
              <c:numCache>
                <c:formatCode>0.00</c:formatCode>
                <c:ptCount val="13"/>
                <c:pt idx="0">
                  <c:v>-4.554000865386838</c:v>
                </c:pt>
                <c:pt idx="1">
                  <c:v>-4.6550008653865147</c:v>
                </c:pt>
                <c:pt idx="2">
                  <c:v>-4.7550008653868998</c:v>
                </c:pt>
                <c:pt idx="3">
                  <c:v>-4.7980008653862924</c:v>
                </c:pt>
                <c:pt idx="4">
                  <c:v>-8.6538721848522665E-7</c:v>
                </c:pt>
                <c:pt idx="5">
                  <c:v>-4.6980008653866063</c:v>
                </c:pt>
                <c:pt idx="6">
                  <c:v>-8.6538664186845572E-7</c:v>
                </c:pt>
                <c:pt idx="7">
                  <c:v>2.0999134612990474E-2</c:v>
                </c:pt>
                <c:pt idx="8">
                  <c:v>-5.5000865386661532E-2</c:v>
                </c:pt>
                <c:pt idx="9">
                  <c:v>4.4999134612723299E-2</c:v>
                </c:pt>
                <c:pt idx="10">
                  <c:v>-5.5000865386469318E-2</c:v>
                </c:pt>
                <c:pt idx="11">
                  <c:v>4.3999134613262755E-2</c:v>
                </c:pt>
                <c:pt idx="12">
                  <c:v>-4.5540008653866453</c:v>
                </c:pt>
              </c:numCache>
            </c:numRef>
          </c:val>
        </c:ser>
        <c:ser>
          <c:idx val="2"/>
          <c:order val="3"/>
          <c:tx>
            <c:strRef>
              <c:f>ChartData!$G$37</c:f>
              <c:strCache>
                <c:ptCount val="1"/>
                <c:pt idx="0">
                  <c:v>M3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numFmt formatCode="0.0;0.0;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8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ChartData!$G$54:$G$66</c:f>
              <c:numCache>
                <c:formatCode>0.0;0.0;0.0</c:formatCode>
                <c:ptCount val="13"/>
                <c:pt idx="0">
                  <c:v>7.678997813052888</c:v>
                </c:pt>
                <c:pt idx="1">
                  <c:v>8.3202990003846935</c:v>
                </c:pt>
                <c:pt idx="2">
                  <c:v>3.8477328597339238</c:v>
                </c:pt>
                <c:pt idx="3">
                  <c:v>2.0849697153203124</c:v>
                </c:pt>
                <c:pt idx="4">
                  <c:v>4.1531879068598982</c:v>
                </c:pt>
                <c:pt idx="5">
                  <c:v>6.1763707207830976</c:v>
                </c:pt>
                <c:pt idx="6">
                  <c:v>7.6576861961409577</c:v>
                </c:pt>
                <c:pt idx="7">
                  <c:v>8.0366088783121086</c:v>
                </c:pt>
                <c:pt idx="8">
                  <c:v>12.015325329689176</c:v>
                </c:pt>
                <c:pt idx="9">
                  <c:v>11.544037273387971</c:v>
                </c:pt>
                <c:pt idx="10">
                  <c:v>17.271519679249877</c:v>
                </c:pt>
                <c:pt idx="11">
                  <c:v>12.967765101653413</c:v>
                </c:pt>
                <c:pt idx="12">
                  <c:v>15.357995626105776</c:v>
                </c:pt>
              </c:numCache>
            </c:numRef>
          </c:val>
        </c:ser>
        <c:ser>
          <c:idx val="3"/>
          <c:order val="4"/>
          <c:tx>
            <c:strRef>
              <c:f>ChartData!$I$37</c:f>
              <c:strCache>
                <c:ptCount val="1"/>
                <c:pt idx="0">
                  <c:v>m3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numFmt formatCode="0.0;0.0;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66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ChartData!$I$54:$I$66</c:f>
              <c:numCache>
                <c:formatCode>0.0;0.0;0.0</c:formatCode>
                <c:ptCount val="13"/>
                <c:pt idx="0">
                  <c:v>-9.7505667041480137</c:v>
                </c:pt>
                <c:pt idx="1">
                  <c:v>-11.488131609785569</c:v>
                </c:pt>
                <c:pt idx="2">
                  <c:v>-6.2680598271219878</c:v>
                </c:pt>
                <c:pt idx="3">
                  <c:v>-5.7381978860416893</c:v>
                </c:pt>
                <c:pt idx="4">
                  <c:v>-4.1531884003588857</c:v>
                </c:pt>
                <c:pt idx="5">
                  <c:v>-10.189572622040941</c:v>
                </c:pt>
                <c:pt idx="6">
                  <c:v>-7.6576867498224601</c:v>
                </c:pt>
                <c:pt idx="7">
                  <c:v>-8.0265322538066357</c:v>
                </c:pt>
                <c:pt idx="8">
                  <c:v>-12.054913934341812</c:v>
                </c:pt>
                <c:pt idx="9">
                  <c:v>-11.51974518555312</c:v>
                </c:pt>
                <c:pt idx="10">
                  <c:v>-17.316056602183835</c:v>
                </c:pt>
                <c:pt idx="11">
                  <c:v>-12.941043978805965</c:v>
                </c:pt>
                <c:pt idx="12">
                  <c:v>-19.501133408296027</c:v>
                </c:pt>
              </c:numCache>
            </c:numRef>
          </c:val>
        </c:ser>
        <c:ser>
          <c:idx val="5"/>
          <c:order val="5"/>
          <c:tx>
            <c:strRef>
              <c:f>ChartData!$K$37</c:f>
              <c:strCache>
                <c:ptCount val="1"/>
                <c:pt idx="0">
                  <c:v>5th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00"/>
                      <a:t>CG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00"/>
                      <a:t>GD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00"/>
                      <a:t>DA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000"/>
                      <a:t>AE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000"/>
                      <a:t>EB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000"/>
                      <a:t>BF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000"/>
                      <a:t>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G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000"/>
                      <a:t>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000"/>
                      <a:t>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1000"/>
                      <a:t>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F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1000"/>
                      <a:t>FC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sz="1000"/>
                      <a:t>CG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8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ChartData!$K$54:$K$66</c:f>
              <c:numCache>
                <c:formatCode>0.0;0.0;0.0</c:formatCode>
                <c:ptCount val="13"/>
                <c:pt idx="0">
                  <c:v>-1.0357844455475629</c:v>
                </c:pt>
                <c:pt idx="1">
                  <c:v>-1.5839163047004376</c:v>
                </c:pt>
                <c:pt idx="2">
                  <c:v>-1.2101634836940889</c:v>
                </c:pt>
                <c:pt idx="3">
                  <c:v>-1.8266140853606885</c:v>
                </c:pt>
                <c:pt idx="4">
                  <c:v>-2.4674949372638366E-7</c:v>
                </c:pt>
                <c:pt idx="5">
                  <c:v>-2.006600950628922</c:v>
                </c:pt>
                <c:pt idx="6">
                  <c:v>-2.7684075121214846E-7</c:v>
                </c:pt>
                <c:pt idx="7">
                  <c:v>5.0383122526227453E-3</c:v>
                </c:pt>
                <c:pt idx="8">
                  <c:v>-1.9794302326317847E-2</c:v>
                </c:pt>
                <c:pt idx="9">
                  <c:v>1.2146043917425686E-2</c:v>
                </c:pt>
                <c:pt idx="10">
                  <c:v>-2.2268461466751432E-2</c:v>
                </c:pt>
                <c:pt idx="11">
                  <c:v>1.3360561423723993E-2</c:v>
                </c:pt>
                <c:pt idx="12">
                  <c:v>-2.0715688910950121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0"/>
        <c:overlap val="95"/>
        <c:axId val="934452480"/>
        <c:axId val="934442144"/>
      </c:barChart>
      <c:catAx>
        <c:axId val="934452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34442144"/>
        <c:crosses val="autoZero"/>
        <c:auto val="1"/>
        <c:lblAlgn val="ctr"/>
        <c:lblOffset val="100"/>
        <c:tickMarkSkip val="1"/>
        <c:noMultiLvlLbl val="0"/>
      </c:catAx>
      <c:valAx>
        <c:axId val="934442144"/>
        <c:scaling>
          <c:orientation val="minMax"/>
          <c:max val="25"/>
          <c:min val="-2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4452480"/>
        <c:crosses val="autoZero"/>
        <c:crossBetween val="between"/>
        <c:majorUnit val="5"/>
        <c:minorUnit val="5"/>
      </c:valAx>
      <c:spPr>
        <a:noFill/>
        <a:ln w="6350" cmpd="sng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966" r="0.75000000000000966" t="1" header="0.5" footer="0.5"/>
    <c:pageSetup orientation="landscape" horizontalDpi="-4" vertic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ChartData!$C$11</c:f>
          <c:strCache>
            <c:ptCount val="1"/>
            <c:pt idx="0">
              <c:v>Dr. Herbert Anton Kellner (Wohltemperirt/Bach, 1978)</c:v>
            </c:pt>
          </c:strCache>
        </c:strRef>
      </c:tx>
      <c:layout>
        <c:manualLayout>
          <c:xMode val="edge"/>
          <c:yMode val="edge"/>
          <c:x val="1.1139767708677141E-2"/>
          <c:y val="7.6818734877364065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3928363744952"/>
          <c:y val="0.13238164169265326"/>
          <c:w val="0.79813616860766146"/>
          <c:h val="0.64905801148102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ChartData!$F$37</c:f>
              <c:strCache>
                <c:ptCount val="1"/>
                <c:pt idx="0">
                  <c:v>M3 ¢ </c:v>
                </c:pt>
              </c:strCache>
            </c:strRef>
          </c:tx>
          <c:spPr>
            <a:gradFill flip="none" rotWithShape="1">
              <a:gsLst>
                <a:gs pos="0">
                  <a:srgbClr val="FF0000"/>
                </a:gs>
                <a:gs pos="50000">
                  <a:srgbClr val="FF6699">
                    <a:alpha val="75000"/>
                  </a:srgbClr>
                </a:gs>
                <a:gs pos="100000">
                  <a:srgbClr val="FF0000"/>
                </a:gs>
              </a:gsLst>
              <a:lin ang="5400000" scaled="1"/>
              <a:tileRect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00"/>
                      <a:t>CE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00"/>
                      <a:t>GB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00"/>
                      <a:t>DF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000"/>
                      <a:t>AC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000"/>
                      <a:t>EG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000"/>
                      <a:t>BD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000"/>
                      <a:t>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F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000"/>
                      <a:t>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C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000"/>
                      <a:t>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G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1000"/>
                      <a:t>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D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1000"/>
                      <a:t>FA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sz="1000"/>
                      <a:t>CE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FF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ChartData!$F$38:$F$50</c:f>
              <c:numCache>
                <c:formatCode>0.00</c:formatCode>
                <c:ptCount val="13"/>
                <c:pt idx="0">
                  <c:v>2.7442861351655967</c:v>
                </c:pt>
                <c:pt idx="1">
                  <c:v>7.2982861351655677</c:v>
                </c:pt>
                <c:pt idx="2">
                  <c:v>7.2552861351654121</c:v>
                </c:pt>
                <c:pt idx="3">
                  <c:v>12.010286135165495</c:v>
                </c:pt>
                <c:pt idx="4">
                  <c:v>16.829286135165443</c:v>
                </c:pt>
                <c:pt idx="5">
                  <c:v>16.774286135165937</c:v>
                </c:pt>
                <c:pt idx="6">
                  <c:v>21.517286135165563</c:v>
                </c:pt>
                <c:pt idx="7">
                  <c:v>21.462286135164863</c:v>
                </c:pt>
                <c:pt idx="8">
                  <c:v>21.485286135165317</c:v>
                </c:pt>
                <c:pt idx="9">
                  <c:v>16.986286135165365</c:v>
                </c:pt>
                <c:pt idx="10">
                  <c:v>12.28628613516565</c:v>
                </c:pt>
                <c:pt idx="11">
                  <c:v>7.5862861351655582</c:v>
                </c:pt>
                <c:pt idx="12">
                  <c:v>2.7442861351663637</c:v>
                </c:pt>
              </c:numCache>
            </c:numRef>
          </c:val>
        </c:ser>
        <c:ser>
          <c:idx val="4"/>
          <c:order val="1"/>
          <c:tx>
            <c:strRef>
              <c:f>ChartData!$H$37</c:f>
              <c:strCache>
                <c:ptCount val="1"/>
                <c:pt idx="0">
                  <c:v>m3 ¢</c:v>
                </c:pt>
              </c:strCache>
            </c:strRef>
          </c:tx>
          <c:spPr>
            <a:gradFill flip="none" rotWithShape="1">
              <a:gsLst>
                <a:gs pos="0">
                  <a:srgbClr val="00E200">
                    <a:alpha val="48000"/>
                  </a:srgbClr>
                </a:gs>
                <a:gs pos="50000">
                  <a:srgbClr val="96FF96">
                    <a:alpha val="75000"/>
                  </a:srgbClr>
                </a:gs>
                <a:gs pos="100000">
                  <a:srgbClr val="00E200"/>
                </a:gs>
              </a:gsLst>
              <a:lin ang="5400000" scaled="1"/>
              <a:tileRect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00"/>
                      <a:t>EG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00"/>
                      <a:t>BD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00"/>
                      <a:t>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A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E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000"/>
                      <a:t>G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B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000"/>
                      <a:t>D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000"/>
                      <a:t>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000"/>
                      <a:t>FG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000"/>
                      <a:t>CE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000"/>
                      <a:t>GB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1000"/>
                      <a:t>DF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1000"/>
                      <a:t>AC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sz="1000"/>
                      <a:t>EG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9966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ChartData!$H$38:$H$50</c:f>
              <c:numCache>
                <c:formatCode>0.00</c:formatCode>
                <c:ptCount val="13"/>
                <c:pt idx="0">
                  <c:v>-7.2982870005527714</c:v>
                </c:pt>
                <c:pt idx="1">
                  <c:v>-11.953287000552114</c:v>
                </c:pt>
                <c:pt idx="2">
                  <c:v>-12.010287000552198</c:v>
                </c:pt>
                <c:pt idx="3">
                  <c:v>-16.808287000551882</c:v>
                </c:pt>
                <c:pt idx="4">
                  <c:v>-16.829287000552611</c:v>
                </c:pt>
                <c:pt idx="5">
                  <c:v>-21.472287000552463</c:v>
                </c:pt>
                <c:pt idx="6">
                  <c:v>-21.517287000552081</c:v>
                </c:pt>
                <c:pt idx="7">
                  <c:v>-21.441287000552116</c:v>
                </c:pt>
                <c:pt idx="8">
                  <c:v>-21.540287000551725</c:v>
                </c:pt>
                <c:pt idx="9">
                  <c:v>-16.941287000552229</c:v>
                </c:pt>
                <c:pt idx="10">
                  <c:v>-12.341287000552148</c:v>
                </c:pt>
                <c:pt idx="11">
                  <c:v>-7.5422870005525713</c:v>
                </c:pt>
                <c:pt idx="12">
                  <c:v>-7.2982870005525768</c:v>
                </c:pt>
              </c:numCache>
            </c:numRef>
          </c:val>
        </c:ser>
        <c:ser>
          <c:idx val="1"/>
          <c:order val="2"/>
          <c:tx>
            <c:strRef>
              <c:f>ChartData!$J$37</c:f>
              <c:strCache>
                <c:ptCount val="1"/>
                <c:pt idx="0">
                  <c:v>5th ¢</c:v>
                </c:pt>
              </c:strCache>
            </c:strRef>
          </c:tx>
          <c:spPr>
            <a:gradFill flip="none" rotWithShape="1">
              <a:gsLst>
                <a:gs pos="0">
                  <a:srgbClr val="3366FF"/>
                </a:gs>
                <a:gs pos="50000">
                  <a:srgbClr val="3399FF">
                    <a:alpha val="75000"/>
                  </a:srgbClr>
                </a:gs>
                <a:gs pos="100000">
                  <a:srgbClr val="3366FF"/>
                </a:gs>
              </a:gsLst>
              <a:lin ang="5400000" scaled="0"/>
              <a:tileRect/>
            </a:gradFill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ChartData!$J$38:$J$50</c:f>
              <c:numCache>
                <c:formatCode>0.00</c:formatCode>
                <c:ptCount val="13"/>
                <c:pt idx="0">
                  <c:v>-4.554000865386838</c:v>
                </c:pt>
                <c:pt idx="1">
                  <c:v>-4.6550008653865147</c:v>
                </c:pt>
                <c:pt idx="2">
                  <c:v>-4.7550008653868998</c:v>
                </c:pt>
                <c:pt idx="3">
                  <c:v>-4.7980008653862924</c:v>
                </c:pt>
                <c:pt idx="4">
                  <c:v>-8.6538721848522665E-7</c:v>
                </c:pt>
                <c:pt idx="5">
                  <c:v>-4.6980008653866063</c:v>
                </c:pt>
                <c:pt idx="6">
                  <c:v>-8.6538664186845572E-7</c:v>
                </c:pt>
                <c:pt idx="7">
                  <c:v>2.0999134612990474E-2</c:v>
                </c:pt>
                <c:pt idx="8">
                  <c:v>-5.5000865386661532E-2</c:v>
                </c:pt>
                <c:pt idx="9">
                  <c:v>4.4999134612723299E-2</c:v>
                </c:pt>
                <c:pt idx="10">
                  <c:v>-5.5000865386469318E-2</c:v>
                </c:pt>
                <c:pt idx="11">
                  <c:v>4.3999134613262755E-2</c:v>
                </c:pt>
                <c:pt idx="12">
                  <c:v>-4.5540008653866453</c:v>
                </c:pt>
              </c:numCache>
            </c:numRef>
          </c:val>
        </c:ser>
        <c:ser>
          <c:idx val="2"/>
          <c:order val="3"/>
          <c:tx>
            <c:strRef>
              <c:f>ChartData!$G$37</c:f>
              <c:strCache>
                <c:ptCount val="1"/>
                <c:pt idx="0">
                  <c:v>M3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numFmt formatCode="0.0;0.0;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8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ChartData!$G$38:$G$50</c:f>
              <c:numCache>
                <c:formatCode>0.0;0.0;0.0</c:formatCode>
                <c:ptCount val="13"/>
                <c:pt idx="0">
                  <c:v>1.0424848576599288</c:v>
                </c:pt>
                <c:pt idx="1">
                  <c:v>4.1531879068598982</c:v>
                </c:pt>
                <c:pt idx="2">
                  <c:v>3.0881853603915488</c:v>
                </c:pt>
                <c:pt idx="3">
                  <c:v>7.6576861961409577</c:v>
                </c:pt>
                <c:pt idx="4">
                  <c:v>8.0366088783121086</c:v>
                </c:pt>
                <c:pt idx="5">
                  <c:v>12.015325329689176</c:v>
                </c:pt>
                <c:pt idx="6">
                  <c:v>11.544037273387971</c:v>
                </c:pt>
                <c:pt idx="7">
                  <c:v>8.6357598396249386</c:v>
                </c:pt>
                <c:pt idx="8">
                  <c:v>12.967765101653413</c:v>
                </c:pt>
                <c:pt idx="9">
                  <c:v>7.678997813052888</c:v>
                </c:pt>
                <c:pt idx="10">
                  <c:v>8.3202990003846935</c:v>
                </c:pt>
                <c:pt idx="11">
                  <c:v>3.8477328597339238</c:v>
                </c:pt>
                <c:pt idx="12">
                  <c:v>2.0849697153203124</c:v>
                </c:pt>
              </c:numCache>
            </c:numRef>
          </c:val>
        </c:ser>
        <c:ser>
          <c:idx val="3"/>
          <c:order val="4"/>
          <c:tx>
            <c:strRef>
              <c:f>ChartData!$I$37</c:f>
              <c:strCache>
                <c:ptCount val="1"/>
                <c:pt idx="0">
                  <c:v>m3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numFmt formatCode="0.0;0.0;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66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ChartData!$I$38:$I$50</c:f>
              <c:numCache>
                <c:formatCode>0.0;0.0;0.0</c:formatCode>
                <c:ptCount val="13"/>
                <c:pt idx="0">
                  <c:v>-4.1531884003588857</c:v>
                </c:pt>
                <c:pt idx="1">
                  <c:v>-10.189572622040941</c:v>
                </c:pt>
                <c:pt idx="2">
                  <c:v>-7.6576867498224601</c:v>
                </c:pt>
                <c:pt idx="3">
                  <c:v>-16.053064507613271</c:v>
                </c:pt>
                <c:pt idx="4">
                  <c:v>-12.054913934341812</c:v>
                </c:pt>
                <c:pt idx="5">
                  <c:v>-23.03949037110624</c:v>
                </c:pt>
                <c:pt idx="6">
                  <c:v>-17.316056602183835</c:v>
                </c:pt>
                <c:pt idx="7">
                  <c:v>-12.941043978805965</c:v>
                </c:pt>
                <c:pt idx="8">
                  <c:v>-19.501133408296027</c:v>
                </c:pt>
                <c:pt idx="9">
                  <c:v>-11.488131609785569</c:v>
                </c:pt>
                <c:pt idx="10">
                  <c:v>-12.536119654243976</c:v>
                </c:pt>
                <c:pt idx="11">
                  <c:v>-5.7381978860416893</c:v>
                </c:pt>
                <c:pt idx="12">
                  <c:v>-8.3063768007177714</c:v>
                </c:pt>
              </c:numCache>
            </c:numRef>
          </c:val>
        </c:ser>
        <c:ser>
          <c:idx val="5"/>
          <c:order val="5"/>
          <c:tx>
            <c:strRef>
              <c:f>ChartData!$K$37</c:f>
              <c:strCache>
                <c:ptCount val="1"/>
                <c:pt idx="0">
                  <c:v>5th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00"/>
                      <a:t>CG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00"/>
                      <a:t>GD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00"/>
                      <a:t>DA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000"/>
                      <a:t>AE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000"/>
                      <a:t>EB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000"/>
                      <a:t>BF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000"/>
                      <a:t>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G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000"/>
                      <a:t>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000"/>
                      <a:t>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1000"/>
                      <a:t>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F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1000"/>
                      <a:t>FC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sz="1000"/>
                      <a:t>CG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8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ChartData!$K$38:$K$50</c:f>
              <c:numCache>
                <c:formatCode>0.0;0.0;0.0</c:formatCode>
                <c:ptCount val="13"/>
                <c:pt idx="0">
                  <c:v>-1.0357844455475629</c:v>
                </c:pt>
                <c:pt idx="1">
                  <c:v>-1.5839163047004376</c:v>
                </c:pt>
                <c:pt idx="2">
                  <c:v>-1.2101634836940889</c:v>
                </c:pt>
                <c:pt idx="3">
                  <c:v>-1.8266140853606885</c:v>
                </c:pt>
                <c:pt idx="4">
                  <c:v>-2.4674949372638366E-7</c:v>
                </c:pt>
                <c:pt idx="5">
                  <c:v>-2.006600950628922</c:v>
                </c:pt>
                <c:pt idx="6">
                  <c:v>-2.7684075121214846E-7</c:v>
                </c:pt>
                <c:pt idx="7">
                  <c:v>5.0383122526227453E-3</c:v>
                </c:pt>
                <c:pt idx="8">
                  <c:v>-1.9794302326317847E-2</c:v>
                </c:pt>
                <c:pt idx="9">
                  <c:v>1.2146043917425686E-2</c:v>
                </c:pt>
                <c:pt idx="10">
                  <c:v>-2.2268461466751432E-2</c:v>
                </c:pt>
                <c:pt idx="11">
                  <c:v>1.3360561423723993E-2</c:v>
                </c:pt>
                <c:pt idx="12">
                  <c:v>-2.0715688910950121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0"/>
        <c:overlap val="95"/>
        <c:axId val="934447584"/>
        <c:axId val="934454112"/>
      </c:barChart>
      <c:catAx>
        <c:axId val="93444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34454112"/>
        <c:crosses val="autoZero"/>
        <c:auto val="1"/>
        <c:lblAlgn val="ctr"/>
        <c:lblOffset val="100"/>
        <c:tickMarkSkip val="1"/>
        <c:noMultiLvlLbl val="0"/>
      </c:catAx>
      <c:valAx>
        <c:axId val="934454112"/>
        <c:scaling>
          <c:orientation val="minMax"/>
          <c:max val="50"/>
          <c:min val="-5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ticulate Narrow" pitchFamily="2" charset="0"/>
                <a:ea typeface="Arial Narrow"/>
                <a:cs typeface="Arial Narrow"/>
              </a:defRPr>
            </a:pPr>
            <a:endParaRPr lang="en-US"/>
          </a:p>
        </c:txPr>
        <c:crossAx val="934447584"/>
        <c:crosses val="autoZero"/>
        <c:crossBetween val="between"/>
        <c:majorUnit val="5"/>
        <c:minorUnit val="5"/>
      </c:valAx>
      <c:spPr>
        <a:noFill/>
        <a:ln w="6350" cmpd="sng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977" r="0.75000000000000977" t="1" header="0.5" footer="0.5"/>
    <c:pageSetup orientation="landscape" horizontalDpi="-4" vertic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ChartData!$C$11</c:f>
          <c:strCache>
            <c:ptCount val="1"/>
            <c:pt idx="0">
              <c:v>Dr. Herbert Anton Kellner (Wohltemperirt/Bach, 1978)</c:v>
            </c:pt>
          </c:strCache>
        </c:strRef>
      </c:tx>
      <c:layout>
        <c:manualLayout>
          <c:xMode val="edge"/>
          <c:yMode val="edge"/>
          <c:x val="1.1139767708677141E-2"/>
          <c:y val="9.371776543187574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0">
            <a:defRPr lang="en-US" sz="1150" b="1" i="0" u="none" strike="noStrike" kern="1200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3928363745074"/>
          <c:y val="0.12900780634738979"/>
          <c:w val="0.7981361686076619"/>
          <c:h val="0.649015039663310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ChartData!$F$37</c:f>
              <c:strCache>
                <c:ptCount val="1"/>
                <c:pt idx="0">
                  <c:v>M3 ¢ </c:v>
                </c:pt>
              </c:strCache>
            </c:strRef>
          </c:tx>
          <c:spPr>
            <a:gradFill flip="none" rotWithShape="1">
              <a:gsLst>
                <a:gs pos="0">
                  <a:srgbClr val="D00000"/>
                </a:gs>
                <a:gs pos="50000">
                  <a:srgbClr val="FF3377">
                    <a:alpha val="74902"/>
                  </a:srgbClr>
                </a:gs>
                <a:gs pos="100000">
                  <a:srgbClr val="D00000"/>
                </a:gs>
              </a:gsLst>
              <a:lin ang="5400000" scaled="1"/>
              <a:tileRect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00"/>
                      <a:t>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G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00"/>
                      <a:t>B</a:t>
                    </a:r>
                    <a:r>
                      <a:rPr lang="en-US" sz="1000" b="1" i="0" u="none" strike="noStrike" baseline="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D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00"/>
                      <a:t>FA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000"/>
                      <a:t>CE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000"/>
                      <a:t>GB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000"/>
                      <a:t>DF</a:t>
                    </a:r>
                    <a:r>
                      <a:rPr lang="en-US" sz="1000" b="1" i="0" u="none" strike="noStrike" baseline="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>
                      <a:latin typeface="Arial Unicode MS" pitchFamily="34" charset="-128"/>
                      <a:ea typeface="Arial Unicode MS" pitchFamily="34" charset="-128"/>
                      <a:cs typeface="Arial Unicode MS" pitchFamily="34" charset="-128"/>
                    </a:endParaRP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000"/>
                      <a:t>AC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000"/>
                      <a:t>EG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000"/>
                      <a:t>BE</a:t>
                    </a:r>
                    <a:r>
                      <a:rPr lang="en-US" sz="1000" b="1" i="0" u="none" strike="noStrike" baseline="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000"/>
                      <a:t>G</a:t>
                    </a:r>
                    <a:r>
                      <a:rPr lang="en-US" sz="1000" b="1" i="0" u="none" strike="noStrike" baseline="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B</a:t>
                    </a:r>
                    <a:r>
                      <a:rPr lang="en-US" sz="1000" b="1" i="0" u="none" strike="noStrike" baseline="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1000"/>
                      <a:t>D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F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1000"/>
                      <a:t>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C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sz="1000"/>
                      <a:t>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G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FF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ChartData!$F$54:$F$66</c:f>
              <c:numCache>
                <c:formatCode>0.00</c:formatCode>
                <c:ptCount val="13"/>
                <c:pt idx="0">
                  <c:v>16.986286135165365</c:v>
                </c:pt>
                <c:pt idx="1">
                  <c:v>12.28628613516565</c:v>
                </c:pt>
                <c:pt idx="2">
                  <c:v>7.5862861351655582</c:v>
                </c:pt>
                <c:pt idx="3">
                  <c:v>2.7442861351663637</c:v>
                </c:pt>
                <c:pt idx="4">
                  <c:v>7.2982861351655677</c:v>
                </c:pt>
                <c:pt idx="5">
                  <c:v>7.2552861351654121</c:v>
                </c:pt>
                <c:pt idx="6">
                  <c:v>12.010286135165495</c:v>
                </c:pt>
                <c:pt idx="7">
                  <c:v>16.829286135165443</c:v>
                </c:pt>
                <c:pt idx="8">
                  <c:v>16.774286135165937</c:v>
                </c:pt>
                <c:pt idx="9">
                  <c:v>21.517286135165563</c:v>
                </c:pt>
                <c:pt idx="10">
                  <c:v>21.462286135164863</c:v>
                </c:pt>
                <c:pt idx="11">
                  <c:v>21.485286135165317</c:v>
                </c:pt>
                <c:pt idx="12">
                  <c:v>16.986286135165365</c:v>
                </c:pt>
              </c:numCache>
            </c:numRef>
          </c:val>
        </c:ser>
        <c:ser>
          <c:idx val="4"/>
          <c:order val="1"/>
          <c:tx>
            <c:strRef>
              <c:f>ChartData!$H$37</c:f>
              <c:strCache>
                <c:ptCount val="1"/>
                <c:pt idx="0">
                  <c:v>m3 ¢</c:v>
                </c:pt>
              </c:strCache>
            </c:strRef>
          </c:tx>
          <c:spPr>
            <a:gradFill flip="none" rotWithShape="1">
              <a:gsLst>
                <a:gs pos="0">
                  <a:srgbClr val="00A800">
                    <a:alpha val="47451"/>
                  </a:srgbClr>
                </a:gs>
                <a:gs pos="50000">
                  <a:srgbClr val="00D600"/>
                </a:gs>
                <a:gs pos="100000">
                  <a:srgbClr val="00C000"/>
                </a:gs>
              </a:gsLst>
              <a:lin ang="5400000" scaled="1"/>
              <a:tileRect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00"/>
                      <a:t>CE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00"/>
                      <a:t>GB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00"/>
                      <a:t>DF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000"/>
                      <a:t>AC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000"/>
                      <a:t>EG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000"/>
                      <a:t>BD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000"/>
                      <a:t>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A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E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000"/>
                      <a:t>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B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000"/>
                      <a:t>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G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1000"/>
                      <a:t>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D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1000"/>
                      <a:t>FA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sz="1000"/>
                      <a:t>CE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9966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ChartData!$H$54:$H$66</c:f>
              <c:numCache>
                <c:formatCode>0.00</c:formatCode>
                <c:ptCount val="13"/>
                <c:pt idx="0">
                  <c:v>-21.540287000552116</c:v>
                </c:pt>
                <c:pt idx="1">
                  <c:v>-16.941287000552229</c:v>
                </c:pt>
                <c:pt idx="2">
                  <c:v>-12.341287000552148</c:v>
                </c:pt>
                <c:pt idx="3">
                  <c:v>-7.5422870005525713</c:v>
                </c:pt>
                <c:pt idx="4">
                  <c:v>-7.2982870005525768</c:v>
                </c:pt>
                <c:pt idx="5">
                  <c:v>-11.953287000552114</c:v>
                </c:pt>
                <c:pt idx="6">
                  <c:v>-12.010287000552198</c:v>
                </c:pt>
                <c:pt idx="7">
                  <c:v>-16.808287000551882</c:v>
                </c:pt>
                <c:pt idx="8">
                  <c:v>-16.829287000552611</c:v>
                </c:pt>
                <c:pt idx="9">
                  <c:v>-21.472287000552463</c:v>
                </c:pt>
                <c:pt idx="10">
                  <c:v>-21.517287000552081</c:v>
                </c:pt>
                <c:pt idx="11">
                  <c:v>-21.441287000552116</c:v>
                </c:pt>
                <c:pt idx="12">
                  <c:v>-21.540287000551725</c:v>
                </c:pt>
              </c:numCache>
            </c:numRef>
          </c:val>
        </c:ser>
        <c:ser>
          <c:idx val="1"/>
          <c:order val="2"/>
          <c:tx>
            <c:strRef>
              <c:f>ChartData!$J$37</c:f>
              <c:strCache>
                <c:ptCount val="1"/>
                <c:pt idx="0">
                  <c:v>5th ¢</c:v>
                </c:pt>
              </c:strCache>
            </c:strRef>
          </c:tx>
          <c:spPr>
            <a:gradFill flip="none" rotWithShape="1">
              <a:gsLst>
                <a:gs pos="0">
                  <a:srgbClr val="3366FF"/>
                </a:gs>
                <a:gs pos="50000">
                  <a:srgbClr val="3399FF">
                    <a:alpha val="75000"/>
                  </a:srgbClr>
                </a:gs>
                <a:gs pos="100000">
                  <a:srgbClr val="3366FF"/>
                </a:gs>
              </a:gsLst>
              <a:lin ang="5400000" scaled="0"/>
              <a:tileRect/>
            </a:gradFill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ChartData!$J$54:$J$66</c:f>
              <c:numCache>
                <c:formatCode>0.00</c:formatCode>
                <c:ptCount val="13"/>
                <c:pt idx="0">
                  <c:v>-4.554000865386838</c:v>
                </c:pt>
                <c:pt idx="1">
                  <c:v>-4.6550008653865147</c:v>
                </c:pt>
                <c:pt idx="2">
                  <c:v>-4.7550008653868998</c:v>
                </c:pt>
                <c:pt idx="3">
                  <c:v>-4.7980008653862924</c:v>
                </c:pt>
                <c:pt idx="4">
                  <c:v>-8.6538721848522665E-7</c:v>
                </c:pt>
                <c:pt idx="5">
                  <c:v>-4.6980008653866063</c:v>
                </c:pt>
                <c:pt idx="6">
                  <c:v>-8.6538664186845572E-7</c:v>
                </c:pt>
                <c:pt idx="7">
                  <c:v>2.0999134612990474E-2</c:v>
                </c:pt>
                <c:pt idx="8">
                  <c:v>-5.5000865386661532E-2</c:v>
                </c:pt>
                <c:pt idx="9">
                  <c:v>4.4999134612723299E-2</c:v>
                </c:pt>
                <c:pt idx="10">
                  <c:v>-5.5000865386469318E-2</c:v>
                </c:pt>
                <c:pt idx="11">
                  <c:v>4.3999134613262755E-2</c:v>
                </c:pt>
                <c:pt idx="12">
                  <c:v>-4.5540008653866453</c:v>
                </c:pt>
              </c:numCache>
            </c:numRef>
          </c:val>
        </c:ser>
        <c:ser>
          <c:idx val="2"/>
          <c:order val="3"/>
          <c:tx>
            <c:strRef>
              <c:f>ChartData!$G$37</c:f>
              <c:strCache>
                <c:ptCount val="1"/>
                <c:pt idx="0">
                  <c:v>M3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numFmt formatCode="0.0;0.0;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8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ChartData!$G$54:$G$66</c:f>
              <c:numCache>
                <c:formatCode>0.0;0.0;0.0</c:formatCode>
                <c:ptCount val="13"/>
                <c:pt idx="0">
                  <c:v>7.678997813052888</c:v>
                </c:pt>
                <c:pt idx="1">
                  <c:v>8.3202990003846935</c:v>
                </c:pt>
                <c:pt idx="2">
                  <c:v>3.8477328597339238</c:v>
                </c:pt>
                <c:pt idx="3">
                  <c:v>2.0849697153203124</c:v>
                </c:pt>
                <c:pt idx="4">
                  <c:v>4.1531879068598982</c:v>
                </c:pt>
                <c:pt idx="5">
                  <c:v>6.1763707207830976</c:v>
                </c:pt>
                <c:pt idx="6">
                  <c:v>7.6576861961409577</c:v>
                </c:pt>
                <c:pt idx="7">
                  <c:v>8.0366088783121086</c:v>
                </c:pt>
                <c:pt idx="8">
                  <c:v>12.015325329689176</c:v>
                </c:pt>
                <c:pt idx="9">
                  <c:v>11.544037273387971</c:v>
                </c:pt>
                <c:pt idx="10">
                  <c:v>17.271519679249877</c:v>
                </c:pt>
                <c:pt idx="11">
                  <c:v>12.967765101653413</c:v>
                </c:pt>
                <c:pt idx="12">
                  <c:v>15.357995626105776</c:v>
                </c:pt>
              </c:numCache>
            </c:numRef>
          </c:val>
        </c:ser>
        <c:ser>
          <c:idx val="3"/>
          <c:order val="4"/>
          <c:tx>
            <c:strRef>
              <c:f>ChartData!$I$37</c:f>
              <c:strCache>
                <c:ptCount val="1"/>
                <c:pt idx="0">
                  <c:v>m3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numFmt formatCode="0.0;0.0;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66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ChartData!$I$54:$I$66</c:f>
              <c:numCache>
                <c:formatCode>0.0;0.0;0.0</c:formatCode>
                <c:ptCount val="13"/>
                <c:pt idx="0">
                  <c:v>-9.7505667041480137</c:v>
                </c:pt>
                <c:pt idx="1">
                  <c:v>-11.488131609785569</c:v>
                </c:pt>
                <c:pt idx="2">
                  <c:v>-6.2680598271219878</c:v>
                </c:pt>
                <c:pt idx="3">
                  <c:v>-5.7381978860416893</c:v>
                </c:pt>
                <c:pt idx="4">
                  <c:v>-4.1531884003588857</c:v>
                </c:pt>
                <c:pt idx="5">
                  <c:v>-10.189572622040941</c:v>
                </c:pt>
                <c:pt idx="6">
                  <c:v>-7.6576867498224601</c:v>
                </c:pt>
                <c:pt idx="7">
                  <c:v>-8.0265322538066357</c:v>
                </c:pt>
                <c:pt idx="8">
                  <c:v>-12.054913934341812</c:v>
                </c:pt>
                <c:pt idx="9">
                  <c:v>-11.51974518555312</c:v>
                </c:pt>
                <c:pt idx="10">
                  <c:v>-17.316056602183835</c:v>
                </c:pt>
                <c:pt idx="11">
                  <c:v>-12.941043978805965</c:v>
                </c:pt>
                <c:pt idx="12">
                  <c:v>-19.501133408296027</c:v>
                </c:pt>
              </c:numCache>
            </c:numRef>
          </c:val>
        </c:ser>
        <c:ser>
          <c:idx val="5"/>
          <c:order val="5"/>
          <c:tx>
            <c:strRef>
              <c:f>ChartData!$K$37</c:f>
              <c:strCache>
                <c:ptCount val="1"/>
                <c:pt idx="0">
                  <c:v>5th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00"/>
                      <a:t>CG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00"/>
                      <a:t>GD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00"/>
                      <a:t>DA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000"/>
                      <a:t>AE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000"/>
                      <a:t>EB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000"/>
                      <a:t>BF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000"/>
                      <a:t>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G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000"/>
                      <a:t>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000"/>
                      <a:t>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1000"/>
                      <a:t>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F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1000"/>
                      <a:t>FC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sz="1000"/>
                      <a:t>CG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8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ChartData!$K$54:$K$66</c:f>
              <c:numCache>
                <c:formatCode>0.0;0.0;0.0</c:formatCode>
                <c:ptCount val="13"/>
                <c:pt idx="0">
                  <c:v>-1.0357844455475629</c:v>
                </c:pt>
                <c:pt idx="1">
                  <c:v>-1.5839163047004376</c:v>
                </c:pt>
                <c:pt idx="2">
                  <c:v>-1.2101634836940889</c:v>
                </c:pt>
                <c:pt idx="3">
                  <c:v>-1.8266140853606885</c:v>
                </c:pt>
                <c:pt idx="4">
                  <c:v>-2.4674949372638366E-7</c:v>
                </c:pt>
                <c:pt idx="5">
                  <c:v>-2.006600950628922</c:v>
                </c:pt>
                <c:pt idx="6">
                  <c:v>-2.7684075121214846E-7</c:v>
                </c:pt>
                <c:pt idx="7">
                  <c:v>5.0383122526227453E-3</c:v>
                </c:pt>
                <c:pt idx="8">
                  <c:v>-1.9794302326317847E-2</c:v>
                </c:pt>
                <c:pt idx="9">
                  <c:v>1.2146043917425686E-2</c:v>
                </c:pt>
                <c:pt idx="10">
                  <c:v>-2.2268461466751432E-2</c:v>
                </c:pt>
                <c:pt idx="11">
                  <c:v>1.3360561423723993E-2</c:v>
                </c:pt>
                <c:pt idx="12">
                  <c:v>-2.0715688910950121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0"/>
        <c:overlap val="95"/>
        <c:axId val="934449216"/>
        <c:axId val="934441056"/>
      </c:barChart>
      <c:catAx>
        <c:axId val="934449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34441056"/>
        <c:crosses val="autoZero"/>
        <c:auto val="1"/>
        <c:lblAlgn val="ctr"/>
        <c:lblOffset val="100"/>
        <c:tickMarkSkip val="1"/>
        <c:noMultiLvlLbl val="0"/>
      </c:catAx>
      <c:valAx>
        <c:axId val="934441056"/>
        <c:scaling>
          <c:orientation val="minMax"/>
          <c:max val="50"/>
          <c:min val="-5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ticulate Narrow" pitchFamily="2" charset="0"/>
                <a:ea typeface="Arial Narrow"/>
                <a:cs typeface="Arial Narrow"/>
              </a:defRPr>
            </a:pPr>
            <a:endParaRPr lang="en-US"/>
          </a:p>
        </c:txPr>
        <c:crossAx val="934449216"/>
        <c:crosses val="autoZero"/>
        <c:crossBetween val="between"/>
        <c:majorUnit val="5"/>
        <c:minorUnit val="5"/>
      </c:valAx>
      <c:spPr>
        <a:noFill/>
        <a:ln w="6350" cmpd="sng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988" r="0.75000000000000988" t="1" header="0.5" footer="0.5"/>
    <c:pageSetup orientation="landscape" horizontalDpi="-4" vertic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ChartData!$C$11</c:f>
          <c:strCache>
            <c:ptCount val="1"/>
            <c:pt idx="0">
              <c:v>Dr. Herbert Anton Kellner (Wohltemperirt/Bach, 1978)</c:v>
            </c:pt>
          </c:strCache>
        </c:strRef>
      </c:tx>
      <c:layout>
        <c:manualLayout>
          <c:xMode val="edge"/>
          <c:yMode val="edge"/>
          <c:x val="1.1139767708677141E-2"/>
          <c:y val="7.6818734877364065E-3"/>
        </c:manualLayout>
      </c:layout>
      <c:overlay val="0"/>
      <c:spPr>
        <a:gradFill rotWithShape="0">
          <a:gsLst>
            <a:gs pos="0">
              <a:srgbClr val="8BB2FF">
                <a:alpha val="30000"/>
              </a:srgbClr>
            </a:gs>
            <a:gs pos="35000">
              <a:srgbClr val="85AEFF">
                <a:alpha val="20000"/>
              </a:srgbClr>
            </a:gs>
            <a:gs pos="100000">
              <a:srgbClr val="6699FF">
                <a:alpha val="5000"/>
              </a:srgbClr>
            </a:gs>
          </a:gsLst>
          <a:lin ang="0" scaled="1"/>
        </a:gradFill>
        <a:ln w="25400">
          <a:noFill/>
        </a:ln>
      </c:spPr>
      <c:txPr>
        <a:bodyPr/>
        <a:lstStyle/>
        <a:p>
          <a:pPr>
            <a:defRPr sz="115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3928363745083"/>
          <c:y val="0.12900780634738979"/>
          <c:w val="0.79813616860766146"/>
          <c:h val="0.765102426444621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ChartData!$F$37</c:f>
              <c:strCache>
                <c:ptCount val="1"/>
                <c:pt idx="0">
                  <c:v>M3 ¢ </c:v>
                </c:pt>
              </c:strCache>
            </c:strRef>
          </c:tx>
          <c:spPr>
            <a:gradFill flip="none" rotWithShape="1">
              <a:gsLst>
                <a:gs pos="0">
                  <a:srgbClr val="FF0000"/>
                </a:gs>
                <a:gs pos="50000">
                  <a:srgbClr val="FF6699">
                    <a:alpha val="75000"/>
                  </a:srgbClr>
                </a:gs>
                <a:gs pos="100000">
                  <a:srgbClr val="FF0000"/>
                </a:gs>
              </a:gsLst>
              <a:lin ang="5400000" scaled="1"/>
              <a:tileRect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000"/>
                      <a:t>CE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000"/>
                      <a:t>GB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000"/>
                      <a:t>DF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000"/>
                      <a:t>AC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000"/>
                      <a:t>EG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1000"/>
                      <a:t>BD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1000"/>
                      <a:t>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F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sz="1000"/>
                      <a:t>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C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sz="1000"/>
                      <a:t>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G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sz="1000"/>
                      <a:t>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D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sz="1000"/>
                      <a:t>FA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sz="1000"/>
                      <a:t>CE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FF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ChartData!$F$38:$F$50</c:f>
              <c:numCache>
                <c:formatCode>0.00</c:formatCode>
                <c:ptCount val="13"/>
                <c:pt idx="0">
                  <c:v>2.7442861351655967</c:v>
                </c:pt>
                <c:pt idx="1">
                  <c:v>7.2982861351655677</c:v>
                </c:pt>
                <c:pt idx="2">
                  <c:v>7.2552861351654121</c:v>
                </c:pt>
                <c:pt idx="3">
                  <c:v>12.010286135165495</c:v>
                </c:pt>
                <c:pt idx="4">
                  <c:v>16.829286135165443</c:v>
                </c:pt>
                <c:pt idx="5">
                  <c:v>16.774286135165937</c:v>
                </c:pt>
                <c:pt idx="6">
                  <c:v>21.517286135165563</c:v>
                </c:pt>
                <c:pt idx="7">
                  <c:v>21.462286135164863</c:v>
                </c:pt>
                <c:pt idx="8">
                  <c:v>21.485286135165317</c:v>
                </c:pt>
                <c:pt idx="9">
                  <c:v>16.986286135165365</c:v>
                </c:pt>
                <c:pt idx="10">
                  <c:v>12.28628613516565</c:v>
                </c:pt>
                <c:pt idx="11">
                  <c:v>7.5862861351655582</c:v>
                </c:pt>
                <c:pt idx="12">
                  <c:v>2.7442861351663637</c:v>
                </c:pt>
              </c:numCache>
            </c:numRef>
          </c:val>
        </c:ser>
        <c:ser>
          <c:idx val="4"/>
          <c:order val="1"/>
          <c:tx>
            <c:strRef>
              <c:f>ChartData!$H$37</c:f>
              <c:strCache>
                <c:ptCount val="1"/>
                <c:pt idx="0">
                  <c:v>m3 ¢</c:v>
                </c:pt>
              </c:strCache>
            </c:strRef>
          </c:tx>
          <c:spPr>
            <a:gradFill flip="none" rotWithShape="1">
              <a:gsLst>
                <a:gs pos="0">
                  <a:srgbClr val="00E200">
                    <a:alpha val="48000"/>
                  </a:srgbClr>
                </a:gs>
                <a:gs pos="50000">
                  <a:srgbClr val="96FF96">
                    <a:alpha val="75000"/>
                  </a:srgbClr>
                </a:gs>
                <a:gs pos="100000">
                  <a:srgbClr val="00E200"/>
                </a:gs>
              </a:gsLst>
              <a:lin ang="5400000" scaled="1"/>
              <a:tileRect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000"/>
                      <a:t>EG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000"/>
                      <a:t>BD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000"/>
                      <a:t>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A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E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000"/>
                      <a:t>G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B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1000"/>
                      <a:t>D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1000"/>
                      <a:t>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1000"/>
                      <a:t>FG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sz="1000"/>
                      <a:t>CE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sz="1000"/>
                      <a:t>GB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sz="1000"/>
                      <a:t>DF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sz="1000"/>
                      <a:t>AC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sz="1000"/>
                      <a:t>EG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9966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ChartData!$H$38:$H$50</c:f>
              <c:numCache>
                <c:formatCode>0.00</c:formatCode>
                <c:ptCount val="13"/>
                <c:pt idx="0">
                  <c:v>-7.2982870005527714</c:v>
                </c:pt>
                <c:pt idx="1">
                  <c:v>-11.953287000552114</c:v>
                </c:pt>
                <c:pt idx="2">
                  <c:v>-12.010287000552198</c:v>
                </c:pt>
                <c:pt idx="3">
                  <c:v>-16.808287000551882</c:v>
                </c:pt>
                <c:pt idx="4">
                  <c:v>-16.829287000552611</c:v>
                </c:pt>
                <c:pt idx="5">
                  <c:v>-21.472287000552463</c:v>
                </c:pt>
                <c:pt idx="6">
                  <c:v>-21.517287000552081</c:v>
                </c:pt>
                <c:pt idx="7">
                  <c:v>-21.441287000552116</c:v>
                </c:pt>
                <c:pt idx="8">
                  <c:v>-21.540287000551725</c:v>
                </c:pt>
                <c:pt idx="9">
                  <c:v>-16.941287000552229</c:v>
                </c:pt>
                <c:pt idx="10">
                  <c:v>-12.341287000552148</c:v>
                </c:pt>
                <c:pt idx="11">
                  <c:v>-7.5422870005525713</c:v>
                </c:pt>
                <c:pt idx="12">
                  <c:v>-7.2982870005525768</c:v>
                </c:pt>
              </c:numCache>
            </c:numRef>
          </c:val>
        </c:ser>
        <c:ser>
          <c:idx val="1"/>
          <c:order val="2"/>
          <c:tx>
            <c:strRef>
              <c:f>ChartData!$J$37</c:f>
              <c:strCache>
                <c:ptCount val="1"/>
                <c:pt idx="0">
                  <c:v>5th ¢</c:v>
                </c:pt>
              </c:strCache>
            </c:strRef>
          </c:tx>
          <c:spPr>
            <a:gradFill flip="none" rotWithShape="1">
              <a:gsLst>
                <a:gs pos="0">
                  <a:srgbClr val="3366FF"/>
                </a:gs>
                <a:gs pos="50000">
                  <a:srgbClr val="3399FF">
                    <a:alpha val="75000"/>
                  </a:srgbClr>
                </a:gs>
                <a:gs pos="100000">
                  <a:srgbClr val="3366FF"/>
                </a:gs>
              </a:gsLst>
              <a:lin ang="5400000" scaled="0"/>
              <a:tileRect/>
            </a:gradFill>
            <a:ln w="25400">
              <a:noFill/>
            </a:ln>
          </c:spPr>
          <c:invertIfNegative val="0"/>
          <c:dLbls>
            <c:delete val="1"/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ChartData!$J$38:$J$50</c:f>
              <c:numCache>
                <c:formatCode>0.00</c:formatCode>
                <c:ptCount val="13"/>
                <c:pt idx="0">
                  <c:v>-4.554000865386838</c:v>
                </c:pt>
                <c:pt idx="1">
                  <c:v>-4.6550008653865147</c:v>
                </c:pt>
                <c:pt idx="2">
                  <c:v>-4.7550008653868998</c:v>
                </c:pt>
                <c:pt idx="3">
                  <c:v>-4.7980008653862924</c:v>
                </c:pt>
                <c:pt idx="4">
                  <c:v>-8.6538721848522665E-7</c:v>
                </c:pt>
                <c:pt idx="5">
                  <c:v>-4.6980008653866063</c:v>
                </c:pt>
                <c:pt idx="6">
                  <c:v>-8.6538664186845572E-7</c:v>
                </c:pt>
                <c:pt idx="7">
                  <c:v>2.0999134612990474E-2</c:v>
                </c:pt>
                <c:pt idx="8">
                  <c:v>-5.5000865386661532E-2</c:v>
                </c:pt>
                <c:pt idx="9">
                  <c:v>4.4999134612723299E-2</c:v>
                </c:pt>
                <c:pt idx="10">
                  <c:v>-5.5000865386469318E-2</c:v>
                </c:pt>
                <c:pt idx="11">
                  <c:v>4.3999134613262755E-2</c:v>
                </c:pt>
                <c:pt idx="12">
                  <c:v>-4.5540008653866453</c:v>
                </c:pt>
              </c:numCache>
            </c:numRef>
          </c:val>
        </c:ser>
        <c:ser>
          <c:idx val="2"/>
          <c:order val="3"/>
          <c:tx>
            <c:strRef>
              <c:f>ChartData!$G$37</c:f>
              <c:strCache>
                <c:ptCount val="1"/>
                <c:pt idx="0">
                  <c:v>M3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numFmt formatCode="0.0;0.0;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8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ChartData!$G$38:$G$50</c:f>
              <c:numCache>
                <c:formatCode>0.0;0.0;0.0</c:formatCode>
                <c:ptCount val="13"/>
                <c:pt idx="0">
                  <c:v>1.0424848576599288</c:v>
                </c:pt>
                <c:pt idx="1">
                  <c:v>4.1531879068598982</c:v>
                </c:pt>
                <c:pt idx="2">
                  <c:v>3.0881853603915488</c:v>
                </c:pt>
                <c:pt idx="3">
                  <c:v>7.6576861961409577</c:v>
                </c:pt>
                <c:pt idx="4">
                  <c:v>8.0366088783121086</c:v>
                </c:pt>
                <c:pt idx="5">
                  <c:v>12.015325329689176</c:v>
                </c:pt>
                <c:pt idx="6">
                  <c:v>11.544037273387971</c:v>
                </c:pt>
                <c:pt idx="7">
                  <c:v>8.6357598396249386</c:v>
                </c:pt>
                <c:pt idx="8">
                  <c:v>12.967765101653413</c:v>
                </c:pt>
                <c:pt idx="9">
                  <c:v>7.678997813052888</c:v>
                </c:pt>
                <c:pt idx="10">
                  <c:v>8.3202990003846935</c:v>
                </c:pt>
                <c:pt idx="11">
                  <c:v>3.8477328597339238</c:v>
                </c:pt>
                <c:pt idx="12">
                  <c:v>2.0849697153203124</c:v>
                </c:pt>
              </c:numCache>
            </c:numRef>
          </c:val>
        </c:ser>
        <c:ser>
          <c:idx val="3"/>
          <c:order val="4"/>
          <c:tx>
            <c:strRef>
              <c:f>ChartData!$I$37</c:f>
              <c:strCache>
                <c:ptCount val="1"/>
                <c:pt idx="0">
                  <c:v>m3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numFmt formatCode="0.0;0.0;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66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ChartData!$I$38:$I$50</c:f>
              <c:numCache>
                <c:formatCode>0.0;0.0;0.0</c:formatCode>
                <c:ptCount val="13"/>
                <c:pt idx="0">
                  <c:v>-4.1531884003588857</c:v>
                </c:pt>
                <c:pt idx="1">
                  <c:v>-10.189572622040941</c:v>
                </c:pt>
                <c:pt idx="2">
                  <c:v>-7.6576867498224601</c:v>
                </c:pt>
                <c:pt idx="3">
                  <c:v>-16.053064507613271</c:v>
                </c:pt>
                <c:pt idx="4">
                  <c:v>-12.054913934341812</c:v>
                </c:pt>
                <c:pt idx="5">
                  <c:v>-23.03949037110624</c:v>
                </c:pt>
                <c:pt idx="6">
                  <c:v>-17.316056602183835</c:v>
                </c:pt>
                <c:pt idx="7">
                  <c:v>-12.941043978805965</c:v>
                </c:pt>
                <c:pt idx="8">
                  <c:v>-19.501133408296027</c:v>
                </c:pt>
                <c:pt idx="9">
                  <c:v>-11.488131609785569</c:v>
                </c:pt>
                <c:pt idx="10">
                  <c:v>-12.536119654243976</c:v>
                </c:pt>
                <c:pt idx="11">
                  <c:v>-5.7381978860416893</c:v>
                </c:pt>
                <c:pt idx="12">
                  <c:v>-8.3063768007177714</c:v>
                </c:pt>
              </c:numCache>
            </c:numRef>
          </c:val>
        </c:ser>
        <c:ser>
          <c:idx val="5"/>
          <c:order val="5"/>
          <c:tx>
            <c:strRef>
              <c:f>ChartData!$K$37</c:f>
              <c:strCache>
                <c:ptCount val="1"/>
                <c:pt idx="0">
                  <c:v>5th bps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000"/>
                      <a:t>CG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000"/>
                      <a:t>GD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000"/>
                      <a:t>DA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000"/>
                      <a:t>AE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000"/>
                      <a:t>EB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1000"/>
                      <a:t>BF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1000"/>
                      <a:t>F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1000"/>
                      <a:t>C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r>
                      <a:rPr lang="en-US" sz="1000"/>
                      <a:t>G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♯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sz="1000"/>
                      <a:t>A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sz="1000"/>
                      <a:t>E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endParaRPr lang="en-US" sz="1000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sz="1000"/>
                      <a:t>B</a:t>
                    </a:r>
                    <a:r>
                      <a:rPr lang="en-US" sz="1000">
                        <a:latin typeface="Arial Unicode MS"/>
                        <a:ea typeface="Arial Unicode MS"/>
                        <a:cs typeface="Arial Unicode MS"/>
                      </a:rPr>
                      <a:t>♭</a:t>
                    </a:r>
                    <a:r>
                      <a:rPr lang="en-US" sz="1000"/>
                      <a:t>F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sz="1000"/>
                      <a:t>FC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sz="1000"/>
                      <a:t>CG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8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ChartData!$D$38:$D$50</c:f>
              <c:strCache>
                <c:ptCount val="13"/>
                <c:pt idx="0">
                  <c:v>C</c:v>
                </c:pt>
                <c:pt idx="1">
                  <c:v>G</c:v>
                </c:pt>
                <c:pt idx="2">
                  <c:v>D</c:v>
                </c:pt>
                <c:pt idx="3">
                  <c:v>A</c:v>
                </c:pt>
                <c:pt idx="4">
                  <c:v>E</c:v>
                </c:pt>
                <c:pt idx="5">
                  <c:v>B</c:v>
                </c:pt>
                <c:pt idx="6">
                  <c:v>F#</c:v>
                </c:pt>
                <c:pt idx="7">
                  <c:v>C#</c:v>
                </c:pt>
                <c:pt idx="8">
                  <c:v>Ab</c:v>
                </c:pt>
                <c:pt idx="9">
                  <c:v>Eb</c:v>
                </c:pt>
                <c:pt idx="10">
                  <c:v>Bb</c:v>
                </c:pt>
                <c:pt idx="11">
                  <c:v>F</c:v>
                </c:pt>
                <c:pt idx="12">
                  <c:v>C</c:v>
                </c:pt>
              </c:strCache>
            </c:strRef>
          </c:cat>
          <c:val>
            <c:numRef>
              <c:f>ChartData!$K$38:$K$50</c:f>
              <c:numCache>
                <c:formatCode>0.0;0.0;0.0</c:formatCode>
                <c:ptCount val="13"/>
                <c:pt idx="0">
                  <c:v>-1.0357844455475629</c:v>
                </c:pt>
                <c:pt idx="1">
                  <c:v>-1.5839163047004376</c:v>
                </c:pt>
                <c:pt idx="2">
                  <c:v>-1.2101634836940889</c:v>
                </c:pt>
                <c:pt idx="3">
                  <c:v>-1.8266140853606885</c:v>
                </c:pt>
                <c:pt idx="4">
                  <c:v>-2.4674949372638366E-7</c:v>
                </c:pt>
                <c:pt idx="5">
                  <c:v>-2.006600950628922</c:v>
                </c:pt>
                <c:pt idx="6">
                  <c:v>-2.7684075121214846E-7</c:v>
                </c:pt>
                <c:pt idx="7">
                  <c:v>5.0383122526227453E-3</c:v>
                </c:pt>
                <c:pt idx="8">
                  <c:v>-1.9794302326317847E-2</c:v>
                </c:pt>
                <c:pt idx="9">
                  <c:v>1.2146043917425686E-2</c:v>
                </c:pt>
                <c:pt idx="10">
                  <c:v>-2.2268461466751432E-2</c:v>
                </c:pt>
                <c:pt idx="11">
                  <c:v>1.3360561423723993E-2</c:v>
                </c:pt>
                <c:pt idx="12">
                  <c:v>-2.0715688910950121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0"/>
        <c:overlap val="95"/>
        <c:axId val="934451392"/>
        <c:axId val="934448128"/>
      </c:barChart>
      <c:catAx>
        <c:axId val="93445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34448128"/>
        <c:crosses val="autoZero"/>
        <c:auto val="1"/>
        <c:lblAlgn val="ctr"/>
        <c:lblOffset val="100"/>
        <c:tickMarkSkip val="1"/>
        <c:noMultiLvlLbl val="0"/>
      </c:catAx>
      <c:valAx>
        <c:axId val="934448128"/>
        <c:scaling>
          <c:orientation val="minMax"/>
          <c:max val="50"/>
          <c:min val="-5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4451392"/>
        <c:crosses val="autoZero"/>
        <c:crossBetween val="between"/>
        <c:majorUnit val="5"/>
        <c:minorUnit val="5"/>
      </c:valAx>
      <c:spPr>
        <a:noFill/>
        <a:ln w="6350" cmpd="sng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999" r="0.75000000000000999" t="1" header="0.5" footer="0.5"/>
    <c:pageSetup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5</xdr:row>
      <xdr:rowOff>80455</xdr:rowOff>
    </xdr:from>
    <xdr:to>
      <xdr:col>2</xdr:col>
      <xdr:colOff>654447</xdr:colOff>
      <xdr:row>6</xdr:row>
      <xdr:rowOff>72835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753507</xdr:colOff>
      <xdr:row>5</xdr:row>
      <xdr:rowOff>88075</xdr:rowOff>
    </xdr:from>
    <xdr:to>
      <xdr:col>5</xdr:col>
      <xdr:colOff>355957</xdr:colOff>
      <xdr:row>6</xdr:row>
      <xdr:rowOff>72835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500737</xdr:colOff>
      <xdr:row>5</xdr:row>
      <xdr:rowOff>88075</xdr:rowOff>
    </xdr:from>
    <xdr:to>
      <xdr:col>7</xdr:col>
      <xdr:colOff>223084</xdr:colOff>
      <xdr:row>6</xdr:row>
      <xdr:rowOff>72836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7</xdr:col>
      <xdr:colOff>352624</xdr:colOff>
      <xdr:row>5</xdr:row>
      <xdr:rowOff>95695</xdr:rowOff>
    </xdr:from>
    <xdr:to>
      <xdr:col>9</xdr:col>
      <xdr:colOff>74008</xdr:colOff>
      <xdr:row>6</xdr:row>
      <xdr:rowOff>80455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3262</xdr:colOff>
      <xdr:row>0</xdr:row>
      <xdr:rowOff>21530</xdr:rowOff>
    </xdr:from>
    <xdr:to>
      <xdr:col>28</xdr:col>
      <xdr:colOff>56179</xdr:colOff>
      <xdr:row>19</xdr:row>
      <xdr:rowOff>527881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29</xdr:col>
      <xdr:colOff>666751</xdr:colOff>
      <xdr:row>0</xdr:row>
      <xdr:rowOff>0</xdr:rowOff>
    </xdr:from>
    <xdr:to>
      <xdr:col>58</xdr:col>
      <xdr:colOff>52918</xdr:colOff>
      <xdr:row>19</xdr:row>
      <xdr:rowOff>508891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</xdr:rowOff>
    </xdr:from>
    <xdr:to>
      <xdr:col>29</xdr:col>
      <xdr:colOff>1</xdr:colOff>
      <xdr:row>17</xdr:row>
      <xdr:rowOff>60960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30</xdr:col>
      <xdr:colOff>1</xdr:colOff>
      <xdr:row>0</xdr:row>
      <xdr:rowOff>0</xdr:rowOff>
    </xdr:from>
    <xdr:to>
      <xdr:col>59</xdr:col>
      <xdr:colOff>1</xdr:colOff>
      <xdr:row>17</xdr:row>
      <xdr:rowOff>63499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15</xdr:col>
      <xdr:colOff>0</xdr:colOff>
      <xdr:row>1048576</xdr:row>
      <xdr:rowOff>159113</xdr:rowOff>
    </xdr:from>
    <xdr:to>
      <xdr:col>41</xdr:col>
      <xdr:colOff>99060</xdr:colOff>
      <xdr:row>1048576</xdr:row>
      <xdr:rowOff>162379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54</xdr:row>
      <xdr:rowOff>19050</xdr:rowOff>
    </xdr:from>
    <xdr:to>
      <xdr:col>0</xdr:col>
      <xdr:colOff>885825</xdr:colOff>
      <xdr:row>63</xdr:row>
      <xdr:rowOff>30480</xdr:rowOff>
    </xdr:to>
    <xdr:sp macro="" textlink="">
      <xdr:nvSpPr>
        <xdr:cNvPr id="2" name="TextBox 1"/>
        <xdr:cNvSpPr txBox="1"/>
      </xdr:nvSpPr>
      <xdr:spPr>
        <a:xfrm>
          <a:off x="38100" y="8195310"/>
          <a:ext cx="847725" cy="1177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/>
            <a:t>This C3-C4 range</a:t>
          </a:r>
          <a:r>
            <a:rPr lang="en-US" sz="800" baseline="0"/>
            <a:t> will provide the tonics of the triads in the chart.</a:t>
          </a:r>
          <a:endParaRPr 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%20Tuning%20Files/Sine/s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0"/>
      <sheetData sheetId="1"/>
      <sheetData sheetId="2">
        <row r="2">
          <cell r="D2">
            <v>0.03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79"/>
  <sheetViews>
    <sheetView tabSelected="1" topLeftCell="A4" zoomScale="128" zoomScaleNormal="128" workbookViewId="0">
      <selection activeCell="C11" sqref="C11:C23"/>
    </sheetView>
  </sheetViews>
  <sheetFormatPr defaultColWidth="0" defaultRowHeight="10" zeroHeight="1" x14ac:dyDescent="0.2"/>
  <cols>
    <col min="1" max="1" width="10.61328125" style="249" customWidth="1"/>
    <col min="2" max="2" width="0.84375" style="249" customWidth="1"/>
    <col min="3" max="3" width="11" style="249" bestFit="1" customWidth="1"/>
    <col min="4" max="4" width="0.84375" style="249" customWidth="1"/>
    <col min="5" max="20" width="10.69140625" style="249" customWidth="1"/>
    <col min="21" max="29" width="9" style="249" customWidth="1"/>
    <col min="30" max="16384" width="9" style="249" hidden="1"/>
  </cols>
  <sheetData>
    <row r="1" spans="1:29" ht="14" thickBot="1" x14ac:dyDescent="0.3">
      <c r="A1" s="248" t="s">
        <v>222</v>
      </c>
      <c r="B1" s="248"/>
    </row>
    <row r="2" spans="1:29" x14ac:dyDescent="0.2">
      <c r="A2" s="249" t="s">
        <v>229</v>
      </c>
    </row>
    <row r="3" spans="1:29" x14ac:dyDescent="0.2">
      <c r="A3" s="249" t="s">
        <v>223</v>
      </c>
    </row>
    <row r="4" spans="1:29" x14ac:dyDescent="0.2">
      <c r="A4" s="249" t="s">
        <v>224</v>
      </c>
    </row>
    <row r="5" spans="1:29" x14ac:dyDescent="0.2">
      <c r="A5" s="249" t="s">
        <v>227</v>
      </c>
    </row>
    <row r="6" spans="1:29" ht="87" customHeight="1" x14ac:dyDescent="0.2"/>
    <row r="7" spans="1:29" x14ac:dyDescent="0.2"/>
    <row r="8" spans="1:29" x14ac:dyDescent="0.2">
      <c r="C8" s="250"/>
    </row>
    <row r="9" spans="1:29" ht="13.5" x14ac:dyDescent="0.25">
      <c r="C9" s="251" t="s">
        <v>226</v>
      </c>
      <c r="E9" s="249" t="s">
        <v>194</v>
      </c>
      <c r="T9" s="249" t="s">
        <v>225</v>
      </c>
    </row>
    <row r="10" spans="1:29" ht="3" customHeight="1" x14ac:dyDescent="0.25">
      <c r="B10" s="271"/>
      <c r="C10" s="270"/>
      <c r="D10" s="271"/>
    </row>
    <row r="11" spans="1:29" ht="60" x14ac:dyDescent="0.2">
      <c r="A11" s="249" t="s">
        <v>198</v>
      </c>
      <c r="B11" s="271"/>
      <c r="C11" s="244" t="s">
        <v>211</v>
      </c>
      <c r="D11" s="271"/>
      <c r="E11" s="252" t="s">
        <v>200</v>
      </c>
      <c r="F11" s="252" t="s">
        <v>201</v>
      </c>
      <c r="G11" s="252" t="s">
        <v>209</v>
      </c>
      <c r="H11" s="252" t="s">
        <v>210</v>
      </c>
      <c r="I11" s="252" t="s">
        <v>211</v>
      </c>
      <c r="J11" s="252" t="s">
        <v>212</v>
      </c>
      <c r="K11" s="252" t="s">
        <v>213</v>
      </c>
      <c r="L11" s="252" t="s">
        <v>214</v>
      </c>
      <c r="M11" s="252" t="s">
        <v>199</v>
      </c>
      <c r="N11" s="252" t="s">
        <v>215</v>
      </c>
      <c r="O11" s="252" t="s">
        <v>216</v>
      </c>
      <c r="P11" s="252" t="s">
        <v>217</v>
      </c>
      <c r="Q11" s="252" t="s">
        <v>218</v>
      </c>
      <c r="R11" s="252" t="s">
        <v>219</v>
      </c>
      <c r="S11" s="252" t="s">
        <v>220</v>
      </c>
      <c r="T11" s="246" t="s">
        <v>228</v>
      </c>
      <c r="U11" s="246"/>
      <c r="V11" s="246"/>
      <c r="W11" s="246"/>
      <c r="X11" s="246"/>
      <c r="Y11" s="246"/>
      <c r="Z11" s="246"/>
      <c r="AA11" s="246"/>
      <c r="AB11" s="246"/>
      <c r="AC11" s="246"/>
    </row>
    <row r="12" spans="1:29" x14ac:dyDescent="0.2">
      <c r="A12" s="253" t="s">
        <v>202</v>
      </c>
      <c r="B12" s="272"/>
      <c r="C12" s="245">
        <v>8.0990000000000002</v>
      </c>
      <c r="D12" s="271"/>
      <c r="E12" s="254">
        <v>10.264714601373726</v>
      </c>
      <c r="F12" s="254">
        <v>5.87</v>
      </c>
      <c r="G12" s="254">
        <v>3.8</v>
      </c>
      <c r="H12" s="254">
        <v>3</v>
      </c>
      <c r="I12" s="254">
        <v>8.0990000000000002</v>
      </c>
      <c r="J12" s="254">
        <v>3.7979102391290032</v>
      </c>
      <c r="K12" s="254">
        <v>3</v>
      </c>
      <c r="L12" s="254">
        <v>5.8650000000000002</v>
      </c>
      <c r="M12" s="254">
        <v>0</v>
      </c>
      <c r="N12" s="254">
        <v>4.8547500000000001</v>
      </c>
      <c r="O12" s="254">
        <v>1.5</v>
      </c>
      <c r="P12" s="254">
        <v>11.091390000000001</v>
      </c>
      <c r="Q12" s="254">
        <v>2.74</v>
      </c>
      <c r="R12" s="254">
        <v>11.73</v>
      </c>
      <c r="S12" s="254">
        <v>0</v>
      </c>
      <c r="T12" s="247"/>
      <c r="U12" s="247"/>
      <c r="V12" s="247"/>
      <c r="W12" s="247"/>
      <c r="X12" s="247"/>
      <c r="Y12" s="247"/>
      <c r="Z12" s="247"/>
      <c r="AA12" s="247"/>
      <c r="AB12" s="247"/>
      <c r="AC12" s="247"/>
    </row>
    <row r="13" spans="1:29" x14ac:dyDescent="0.2">
      <c r="A13" s="253" t="s">
        <v>11</v>
      </c>
      <c r="B13" s="272"/>
      <c r="C13" s="245">
        <v>-1.6759999999999999</v>
      </c>
      <c r="D13" s="271"/>
      <c r="E13" s="254">
        <v>-13.686286135165574</v>
      </c>
      <c r="F13" s="254">
        <v>0</v>
      </c>
      <c r="G13" s="254">
        <v>-1.1000000000000001</v>
      </c>
      <c r="H13" s="254">
        <v>0</v>
      </c>
      <c r="I13" s="254">
        <v>-1.6759999999999999</v>
      </c>
      <c r="J13" s="254">
        <v>-1.2851448079524228</v>
      </c>
      <c r="K13" s="254">
        <v>0</v>
      </c>
      <c r="L13" s="254">
        <v>0</v>
      </c>
      <c r="M13" s="254">
        <v>1.96</v>
      </c>
      <c r="N13" s="254">
        <v>-4.9202599999999999</v>
      </c>
      <c r="O13" s="254">
        <v>-0.2</v>
      </c>
      <c r="P13" s="254">
        <v>4.6944100000000004</v>
      </c>
      <c r="Q13" s="254">
        <v>-0.78</v>
      </c>
      <c r="R13" s="254">
        <v>1.96</v>
      </c>
      <c r="S13" s="254">
        <v>-1.05</v>
      </c>
      <c r="T13" s="247"/>
      <c r="U13" s="247"/>
      <c r="V13" s="247"/>
      <c r="W13" s="247"/>
      <c r="X13" s="247"/>
      <c r="Y13" s="247"/>
      <c r="Z13" s="247"/>
      <c r="AA13" s="247"/>
      <c r="AB13" s="247"/>
      <c r="AC13" s="247"/>
    </row>
    <row r="14" spans="1:29" x14ac:dyDescent="0.2">
      <c r="A14" s="253" t="s">
        <v>203</v>
      </c>
      <c r="B14" s="272"/>
      <c r="C14" s="245">
        <v>2.8</v>
      </c>
      <c r="D14" s="271"/>
      <c r="E14" s="254">
        <v>3.4215715337916208</v>
      </c>
      <c r="F14" s="254">
        <v>1.96</v>
      </c>
      <c r="G14" s="254">
        <v>0.5</v>
      </c>
      <c r="H14" s="254">
        <v>0</v>
      </c>
      <c r="I14" s="254">
        <v>2.8</v>
      </c>
      <c r="J14" s="254">
        <v>0.85687304330542025</v>
      </c>
      <c r="K14" s="254">
        <v>0.5</v>
      </c>
      <c r="L14" s="254">
        <v>1.9550000000000001</v>
      </c>
      <c r="M14" s="254">
        <v>0</v>
      </c>
      <c r="N14" s="254">
        <v>8.7647499999999994</v>
      </c>
      <c r="O14" s="254">
        <v>0.5</v>
      </c>
      <c r="P14" s="254">
        <v>4.8475000000000001</v>
      </c>
      <c r="Q14" s="254">
        <v>2.35</v>
      </c>
      <c r="R14" s="254">
        <v>3.91</v>
      </c>
      <c r="S14" s="254">
        <v>3.91</v>
      </c>
      <c r="T14" s="247"/>
      <c r="U14" s="247"/>
      <c r="V14" s="247"/>
      <c r="W14" s="247"/>
      <c r="X14" s="247"/>
      <c r="Y14" s="247"/>
      <c r="Z14" s="247"/>
      <c r="AA14" s="247"/>
      <c r="AB14" s="247"/>
      <c r="AC14" s="247"/>
    </row>
    <row r="15" spans="1:29" ht="10.5" customHeight="1" x14ac:dyDescent="0.2">
      <c r="A15" s="253" t="s">
        <v>9</v>
      </c>
      <c r="B15" s="272"/>
      <c r="C15" s="245">
        <v>2.2000000000000002</v>
      </c>
      <c r="D15" s="271"/>
      <c r="E15" s="254">
        <v>20.529429202747224</v>
      </c>
      <c r="F15" s="254">
        <v>3.91</v>
      </c>
      <c r="G15" s="254">
        <v>2.8</v>
      </c>
      <c r="H15" s="254">
        <v>0</v>
      </c>
      <c r="I15" s="254">
        <v>2.2000000000000002</v>
      </c>
      <c r="J15" s="254">
        <v>1.5903590511483585</v>
      </c>
      <c r="K15" s="254">
        <v>0.6</v>
      </c>
      <c r="L15" s="254">
        <v>3.91</v>
      </c>
      <c r="M15" s="254">
        <v>1.96</v>
      </c>
      <c r="N15" s="254">
        <v>-1.0102599999999999</v>
      </c>
      <c r="O15" s="254">
        <v>0.9</v>
      </c>
      <c r="P15" s="254">
        <v>8.6044099999999997</v>
      </c>
      <c r="Q15" s="254">
        <v>1.17</v>
      </c>
      <c r="R15" s="254">
        <v>5.87</v>
      </c>
      <c r="S15" s="254">
        <v>-2.4900000000000002</v>
      </c>
      <c r="T15" s="247"/>
      <c r="U15" s="247"/>
      <c r="V15" s="247"/>
      <c r="W15" s="247"/>
      <c r="X15" s="247"/>
      <c r="Y15" s="247"/>
      <c r="Z15" s="247"/>
      <c r="AA15" s="247"/>
      <c r="AB15" s="247"/>
      <c r="AC15" s="247"/>
    </row>
    <row r="16" spans="1:29" x14ac:dyDescent="0.2">
      <c r="A16" s="253" t="s">
        <v>204</v>
      </c>
      <c r="B16" s="272"/>
      <c r="C16" s="245">
        <v>-2.843</v>
      </c>
      <c r="D16" s="271"/>
      <c r="E16" s="254">
        <v>-3.4215715337913934</v>
      </c>
      <c r="F16" s="254">
        <v>-1.96</v>
      </c>
      <c r="G16" s="254">
        <v>0.6</v>
      </c>
      <c r="H16" s="254">
        <v>-3</v>
      </c>
      <c r="I16" s="254">
        <v>-2.843</v>
      </c>
      <c r="J16" s="254">
        <v>-0.40624511383861756</v>
      </c>
      <c r="K16" s="254">
        <v>-1.5</v>
      </c>
      <c r="L16" s="254">
        <v>-1.9550000000000001</v>
      </c>
      <c r="M16" s="254">
        <v>0</v>
      </c>
      <c r="N16" s="254">
        <v>-8.8315400000000004</v>
      </c>
      <c r="O16" s="254">
        <v>-0.6</v>
      </c>
      <c r="P16" s="254">
        <v>-2.5948899999999999</v>
      </c>
      <c r="Q16" s="254">
        <v>1.96</v>
      </c>
      <c r="R16" s="254">
        <v>1.96</v>
      </c>
      <c r="S16" s="254">
        <v>4.4400000000000004</v>
      </c>
      <c r="T16" s="247"/>
      <c r="U16" s="247"/>
      <c r="V16" s="247"/>
      <c r="W16" s="247"/>
      <c r="X16" s="247"/>
      <c r="Y16" s="247"/>
      <c r="Z16" s="247"/>
      <c r="AA16" s="247"/>
      <c r="AB16" s="247"/>
      <c r="AC16" s="247"/>
    </row>
    <row r="17" spans="1:29" x14ac:dyDescent="0.2">
      <c r="A17" s="253" t="s">
        <v>205</v>
      </c>
      <c r="B17" s="272"/>
      <c r="C17" s="245">
        <v>6.1</v>
      </c>
      <c r="D17" s="271"/>
      <c r="E17" s="254">
        <v>13.686286135164892</v>
      </c>
      <c r="F17" s="254">
        <v>7.82</v>
      </c>
      <c r="G17" s="254">
        <v>1.8</v>
      </c>
      <c r="H17" s="254">
        <v>4</v>
      </c>
      <c r="I17" s="254">
        <v>6.1</v>
      </c>
      <c r="J17" s="254">
        <v>1.8426518307688871</v>
      </c>
      <c r="K17" s="254">
        <v>2.5</v>
      </c>
      <c r="L17" s="254">
        <v>7.82</v>
      </c>
      <c r="M17" s="254">
        <v>1.96</v>
      </c>
      <c r="N17" s="254">
        <v>2.89975</v>
      </c>
      <c r="O17" s="254">
        <v>1.4</v>
      </c>
      <c r="P17" s="254">
        <v>9.1363900000000005</v>
      </c>
      <c r="Q17" s="254">
        <v>0.78</v>
      </c>
      <c r="R17" s="254">
        <v>9.7799999999999994</v>
      </c>
      <c r="S17" s="254">
        <v>-1.96</v>
      </c>
      <c r="T17" s="247"/>
      <c r="U17" s="247"/>
      <c r="V17" s="247"/>
      <c r="W17" s="247"/>
      <c r="X17" s="247"/>
      <c r="Y17" s="247"/>
      <c r="Z17" s="247"/>
      <c r="AA17" s="247"/>
      <c r="AB17" s="247"/>
      <c r="AC17" s="247"/>
    </row>
    <row r="18" spans="1:29" x14ac:dyDescent="0.2">
      <c r="A18" s="253" t="s">
        <v>6</v>
      </c>
      <c r="B18" s="272"/>
      <c r="C18" s="245">
        <v>-3.6309999999999998</v>
      </c>
      <c r="D18" s="271"/>
      <c r="E18" s="254">
        <v>-10.26471460137418</v>
      </c>
      <c r="F18" s="254">
        <v>-1.96</v>
      </c>
      <c r="G18" s="254">
        <v>-2.1</v>
      </c>
      <c r="H18" s="254">
        <v>-2</v>
      </c>
      <c r="I18" s="254">
        <v>-3.6309999999999998</v>
      </c>
      <c r="J18" s="254">
        <v>-0.28477571414974934</v>
      </c>
      <c r="K18" s="254">
        <v>-1.5</v>
      </c>
      <c r="L18" s="254">
        <v>-1.9550000000000001</v>
      </c>
      <c r="M18" s="254">
        <v>0</v>
      </c>
      <c r="N18" s="254">
        <v>-4.9215400000000002</v>
      </c>
      <c r="O18" s="254">
        <v>-0.8</v>
      </c>
      <c r="P18" s="254">
        <v>2.7394099999999999</v>
      </c>
      <c r="Q18" s="254">
        <v>1.56</v>
      </c>
      <c r="R18" s="254">
        <v>0</v>
      </c>
      <c r="S18" s="254">
        <v>3</v>
      </c>
      <c r="T18" s="247"/>
      <c r="U18" s="247"/>
      <c r="V18" s="247"/>
      <c r="W18" s="247"/>
      <c r="X18" s="247"/>
      <c r="Y18" s="247"/>
      <c r="Z18" s="247"/>
      <c r="AA18" s="247"/>
      <c r="AB18" s="247"/>
      <c r="AC18" s="247"/>
    </row>
    <row r="19" spans="1:29" x14ac:dyDescent="0.2">
      <c r="A19" s="253" t="s">
        <v>206</v>
      </c>
      <c r="B19" s="272"/>
      <c r="C19" s="245">
        <v>5.5</v>
      </c>
      <c r="D19" s="271"/>
      <c r="E19" s="254">
        <v>6.8431430675823322</v>
      </c>
      <c r="F19" s="254">
        <v>3.91</v>
      </c>
      <c r="G19" s="254">
        <v>2.2000000000000002</v>
      </c>
      <c r="H19" s="254">
        <v>2</v>
      </c>
      <c r="I19" s="254">
        <v>5.5</v>
      </c>
      <c r="J19" s="254">
        <v>3.1107326118845426</v>
      </c>
      <c r="K19" s="254">
        <v>1.8</v>
      </c>
      <c r="L19" s="254">
        <v>3.91</v>
      </c>
      <c r="M19" s="254">
        <v>1.96</v>
      </c>
      <c r="N19" s="254">
        <v>6.8097500000000002</v>
      </c>
      <c r="O19" s="254">
        <v>1</v>
      </c>
      <c r="P19" s="254">
        <v>13.046390000000001</v>
      </c>
      <c r="Q19" s="254">
        <v>0.39</v>
      </c>
      <c r="R19" s="254">
        <v>7.82</v>
      </c>
      <c r="S19" s="254">
        <v>1.96</v>
      </c>
      <c r="T19" s="247"/>
      <c r="U19" s="247"/>
      <c r="V19" s="247"/>
      <c r="W19" s="247"/>
      <c r="X19" s="247"/>
      <c r="Y19" s="247"/>
      <c r="Z19" s="247"/>
      <c r="AA19" s="247"/>
      <c r="AB19" s="247"/>
      <c r="AC19" s="247"/>
    </row>
    <row r="20" spans="1:29" x14ac:dyDescent="0.2">
      <c r="A20" s="253" t="s">
        <v>4</v>
      </c>
      <c r="B20" s="272"/>
      <c r="C20" s="245">
        <v>0.3</v>
      </c>
      <c r="D20" s="271"/>
      <c r="E20" s="254">
        <v>-17.107857668956512</v>
      </c>
      <c r="F20" s="254">
        <v>1.96</v>
      </c>
      <c r="G20" s="254">
        <v>0.8</v>
      </c>
      <c r="H20" s="254">
        <v>0</v>
      </c>
      <c r="I20" s="254">
        <v>0.3</v>
      </c>
      <c r="J20" s="254">
        <v>0.66990389650368787</v>
      </c>
      <c r="K20" s="254">
        <v>1.2</v>
      </c>
      <c r="L20" s="254">
        <v>1.9550000000000001</v>
      </c>
      <c r="M20" s="254">
        <v>0</v>
      </c>
      <c r="N20" s="254">
        <v>-2.9652599999999998</v>
      </c>
      <c r="O20" s="254">
        <v>0.4</v>
      </c>
      <c r="P20" s="254">
        <v>6.6494099999999996</v>
      </c>
      <c r="Q20" s="254">
        <v>1.17</v>
      </c>
      <c r="R20" s="254">
        <v>3.91</v>
      </c>
      <c r="S20" s="254">
        <v>0.91</v>
      </c>
      <c r="T20" s="247"/>
      <c r="U20" s="247"/>
      <c r="V20" s="247"/>
      <c r="W20" s="247"/>
      <c r="X20" s="247"/>
      <c r="Y20" s="247"/>
      <c r="Z20" s="247"/>
      <c r="AA20" s="247"/>
      <c r="AB20" s="247"/>
      <c r="AC20" s="247"/>
    </row>
    <row r="21" spans="1:29" x14ac:dyDescent="0.2">
      <c r="A21" s="253" t="s">
        <v>207</v>
      </c>
      <c r="B21" s="272"/>
      <c r="C21" s="245">
        <v>0</v>
      </c>
      <c r="D21" s="271"/>
      <c r="E21" s="254">
        <v>0</v>
      </c>
      <c r="F21" s="254">
        <v>0</v>
      </c>
      <c r="G21" s="254">
        <v>0</v>
      </c>
      <c r="H21" s="254">
        <v>-1</v>
      </c>
      <c r="I21" s="254">
        <v>0</v>
      </c>
      <c r="J21" s="254">
        <v>0</v>
      </c>
      <c r="K21" s="254">
        <v>0</v>
      </c>
      <c r="L21" s="254">
        <v>0</v>
      </c>
      <c r="M21" s="254">
        <v>1.96</v>
      </c>
      <c r="N21" s="254">
        <v>0</v>
      </c>
      <c r="O21" s="254">
        <v>0</v>
      </c>
      <c r="P21" s="254">
        <v>0</v>
      </c>
      <c r="Q21" s="254">
        <v>0</v>
      </c>
      <c r="R21" s="254">
        <v>0</v>
      </c>
      <c r="S21" s="254">
        <v>5.87</v>
      </c>
      <c r="T21" s="247"/>
      <c r="U21" s="247"/>
      <c r="V21" s="247"/>
      <c r="W21" s="247"/>
      <c r="X21" s="247"/>
      <c r="Y21" s="247"/>
      <c r="Z21" s="247"/>
      <c r="AA21" s="247"/>
      <c r="AB21" s="247"/>
      <c r="AC21" s="247"/>
    </row>
    <row r="22" spans="1:29" x14ac:dyDescent="0.2">
      <c r="A22" s="253" t="s">
        <v>2</v>
      </c>
      <c r="B22" s="272"/>
      <c r="C22" s="245">
        <v>4.2</v>
      </c>
      <c r="D22" s="271"/>
      <c r="E22" s="254">
        <v>17.107857668956058</v>
      </c>
      <c r="F22" s="254">
        <v>5.87</v>
      </c>
      <c r="G22" s="254">
        <v>2.4</v>
      </c>
      <c r="H22" s="254">
        <v>2</v>
      </c>
      <c r="I22" s="254">
        <v>4.2</v>
      </c>
      <c r="J22" s="254">
        <v>2.8552953850798062</v>
      </c>
      <c r="K22" s="254">
        <v>1.7</v>
      </c>
      <c r="L22" s="254">
        <v>5.8650000000000002</v>
      </c>
      <c r="M22" s="254">
        <v>0</v>
      </c>
      <c r="N22" s="254">
        <v>0.94474999999999998</v>
      </c>
      <c r="O22" s="254">
        <v>1.25</v>
      </c>
      <c r="P22" s="254">
        <v>7.1813900000000004</v>
      </c>
      <c r="Q22" s="254">
        <v>3.13</v>
      </c>
      <c r="R22" s="254">
        <v>7.82</v>
      </c>
      <c r="S22" s="254">
        <v>-3.91</v>
      </c>
      <c r="T22" s="247"/>
      <c r="U22" s="247"/>
      <c r="V22" s="247"/>
      <c r="W22" s="247"/>
      <c r="X22" s="247"/>
      <c r="Y22" s="247"/>
      <c r="Z22" s="247"/>
      <c r="AA22" s="247"/>
      <c r="AB22" s="247"/>
      <c r="AC22" s="247"/>
    </row>
    <row r="23" spans="1:29" x14ac:dyDescent="0.2">
      <c r="A23" s="253" t="s">
        <v>208</v>
      </c>
      <c r="B23" s="272"/>
      <c r="C23" s="245">
        <v>-0.88800000000000001</v>
      </c>
      <c r="D23" s="271"/>
      <c r="E23" s="254">
        <v>-6.8431430675827869</v>
      </c>
      <c r="F23" s="254">
        <v>0</v>
      </c>
      <c r="G23" s="254">
        <v>-1.1000000000000001</v>
      </c>
      <c r="H23" s="254">
        <v>-4</v>
      </c>
      <c r="I23" s="254">
        <v>-0.88800000000000001</v>
      </c>
      <c r="J23" s="254">
        <v>-2.7199792602806305E-2</v>
      </c>
      <c r="K23" s="254">
        <v>-1.5</v>
      </c>
      <c r="L23" s="254">
        <v>-3.91</v>
      </c>
      <c r="M23" s="254">
        <v>1.96</v>
      </c>
      <c r="N23" s="254">
        <v>-6.8765400000000003</v>
      </c>
      <c r="O23" s="254">
        <v>-0.75</v>
      </c>
      <c r="P23" s="254">
        <v>-0.63988999999999996</v>
      </c>
      <c r="Q23" s="254">
        <v>-0.39</v>
      </c>
      <c r="R23" s="254">
        <v>3.91</v>
      </c>
      <c r="S23" s="254">
        <v>1.05</v>
      </c>
      <c r="T23" s="247"/>
      <c r="U23" s="247"/>
      <c r="V23" s="247"/>
      <c r="W23" s="247"/>
      <c r="X23" s="247"/>
      <c r="Y23" s="247"/>
      <c r="Z23" s="247"/>
      <c r="AA23" s="247"/>
      <c r="AB23" s="247"/>
      <c r="AC23" s="247"/>
    </row>
    <row r="24" spans="1:29" ht="3" customHeight="1" x14ac:dyDescent="0.2">
      <c r="B24" s="271"/>
      <c r="C24" s="273"/>
      <c r="D24" s="271"/>
      <c r="J24" s="255"/>
      <c r="K24" s="256"/>
    </row>
    <row r="25" spans="1:29" ht="15.5" x14ac:dyDescent="0.35">
      <c r="C25" s="257"/>
    </row>
    <row r="26" spans="1:29" x14ac:dyDescent="0.2">
      <c r="A26" s="274" t="s">
        <v>230</v>
      </c>
    </row>
    <row r="27" spans="1:29" x14ac:dyDescent="0.2"/>
    <row r="28" spans="1:29" x14ac:dyDescent="0.2"/>
    <row r="29" spans="1:29" x14ac:dyDescent="0.2"/>
    <row r="30" spans="1:29" x14ac:dyDescent="0.2"/>
    <row r="31" spans="1:29" x14ac:dyDescent="0.2">
      <c r="K31" s="258"/>
      <c r="L31" s="258"/>
      <c r="M31" s="258"/>
      <c r="N31" s="258"/>
    </row>
    <row r="32" spans="1:29" x14ac:dyDescent="0.2">
      <c r="A32" s="259"/>
      <c r="B32" s="259"/>
    </row>
    <row r="33" spans="1:12" x14ac:dyDescent="0.2">
      <c r="K33" s="249" t="s">
        <v>106</v>
      </c>
      <c r="L33" s="260">
        <f>ROUND(MIN(F38:F49),1)</f>
        <v>2.7</v>
      </c>
    </row>
    <row r="34" spans="1:12" x14ac:dyDescent="0.2">
      <c r="K34" s="249" t="s">
        <v>107</v>
      </c>
      <c r="L34" s="260">
        <f>ROUND(MAX(F38:F49),1)</f>
        <v>21.5</v>
      </c>
    </row>
    <row r="35" spans="1:12" ht="14" thickBot="1" x14ac:dyDescent="0.3">
      <c r="A35" s="248" t="s">
        <v>221</v>
      </c>
      <c r="B35" s="248"/>
      <c r="C35" s="248"/>
      <c r="D35" s="248"/>
      <c r="E35" s="248"/>
    </row>
    <row r="36" spans="1:12" x14ac:dyDescent="0.2"/>
    <row r="37" spans="1:12" x14ac:dyDescent="0.2">
      <c r="A37" s="249" t="s">
        <v>49</v>
      </c>
      <c r="C37" s="249" t="s">
        <v>75</v>
      </c>
      <c r="D37" s="249" t="s">
        <v>76</v>
      </c>
      <c r="E37" s="261" t="s">
        <v>182</v>
      </c>
      <c r="F37" s="262" t="s">
        <v>77</v>
      </c>
      <c r="G37" s="263" t="s">
        <v>78</v>
      </c>
      <c r="H37" s="262" t="s">
        <v>79</v>
      </c>
      <c r="I37" s="263" t="s">
        <v>80</v>
      </c>
      <c r="J37" s="262" t="s">
        <v>81</v>
      </c>
      <c r="K37" s="262" t="s">
        <v>82</v>
      </c>
      <c r="L37" s="261"/>
    </row>
    <row r="38" spans="1:12" x14ac:dyDescent="0.2">
      <c r="A38" s="264" t="s">
        <v>50</v>
      </c>
      <c r="B38" s="264"/>
      <c r="C38" s="249" t="s">
        <v>62</v>
      </c>
      <c r="D38" s="256" t="str">
        <f>LEFT(A38,1)</f>
        <v>C</v>
      </c>
      <c r="E38" s="265">
        <f>cee</f>
        <v>8.0990000000000002</v>
      </c>
      <c r="F38" s="265">
        <f>Panoply!G64</f>
        <v>2.7442861351655967</v>
      </c>
      <c r="G38" s="266">
        <f>Panoply!H64</f>
        <v>1.0424848576599288</v>
      </c>
      <c r="H38" s="265">
        <f>Panoply!J60</f>
        <v>-7.2982870005527714</v>
      </c>
      <c r="I38" s="266">
        <f>Panoply!K60</f>
        <v>-4.1531884003588857</v>
      </c>
      <c r="J38" s="265">
        <f>Panoply!M64</f>
        <v>-4.554000865386838</v>
      </c>
      <c r="K38" s="266">
        <f>Panoply!N64</f>
        <v>-1.0357844455475629</v>
      </c>
      <c r="L38" s="256"/>
    </row>
    <row r="39" spans="1:12" x14ac:dyDescent="0.2">
      <c r="A39" s="264" t="s">
        <v>51</v>
      </c>
      <c r="B39" s="264"/>
      <c r="C39" s="249" t="s">
        <v>68</v>
      </c>
      <c r="D39" s="256" t="str">
        <f t="shared" ref="D39:D50" si="0">LEFT(A39,1)</f>
        <v>G</v>
      </c>
      <c r="E39" s="265">
        <f>gee</f>
        <v>5.5</v>
      </c>
      <c r="F39" s="265">
        <f>Panoply!G57</f>
        <v>7.2982861351655677</v>
      </c>
      <c r="G39" s="266">
        <f>Panoply!H57</f>
        <v>4.1531879068598982</v>
      </c>
      <c r="H39" s="265">
        <f>Panoply!J53</f>
        <v>-11.953287000552114</v>
      </c>
      <c r="I39" s="266">
        <f>Panoply!K53</f>
        <v>-10.189572622040941</v>
      </c>
      <c r="J39" s="265">
        <f>Panoply!M57</f>
        <v>-4.6550008653865147</v>
      </c>
      <c r="K39" s="266">
        <f>Panoply!N57</f>
        <v>-1.5839163047004376</v>
      </c>
      <c r="L39" s="256"/>
    </row>
    <row r="40" spans="1:12" x14ac:dyDescent="0.2">
      <c r="A40" s="264" t="s">
        <v>52</v>
      </c>
      <c r="B40" s="264"/>
      <c r="C40" s="249" t="s">
        <v>63</v>
      </c>
      <c r="D40" s="256" t="str">
        <f t="shared" si="0"/>
        <v>D</v>
      </c>
      <c r="E40" s="265">
        <f>dee</f>
        <v>2.8</v>
      </c>
      <c r="F40" s="265">
        <f>Panoply!G62</f>
        <v>7.2552861351654121</v>
      </c>
      <c r="G40" s="266">
        <f>Panoply!H62</f>
        <v>3.0881853603915488</v>
      </c>
      <c r="H40" s="265">
        <f>Panoply!J58</f>
        <v>-12.010287000552198</v>
      </c>
      <c r="I40" s="266">
        <f>Panoply!K58</f>
        <v>-7.6576867498224601</v>
      </c>
      <c r="J40" s="265">
        <f>Panoply!M62</f>
        <v>-4.7550008653868998</v>
      </c>
      <c r="K40" s="266">
        <f>Panoply!N62</f>
        <v>-1.2101634836940889</v>
      </c>
      <c r="L40" s="256"/>
    </row>
    <row r="41" spans="1:12" x14ac:dyDescent="0.2">
      <c r="A41" s="264" t="s">
        <v>53</v>
      </c>
      <c r="B41" s="264"/>
      <c r="C41" s="249" t="s">
        <v>69</v>
      </c>
      <c r="D41" s="256" t="str">
        <f t="shared" si="0"/>
        <v>A</v>
      </c>
      <c r="E41" s="265">
        <f>aaa</f>
        <v>0</v>
      </c>
      <c r="F41" s="265">
        <f>Panoply!G55</f>
        <v>12.010286135165495</v>
      </c>
      <c r="G41" s="266">
        <f>Panoply!H55</f>
        <v>7.6576861961409577</v>
      </c>
      <c r="H41" s="265">
        <f>Panoply!J51</f>
        <v>-16.808287000551882</v>
      </c>
      <c r="I41" s="266">
        <f>Panoply!K51</f>
        <v>-16.053064507613271</v>
      </c>
      <c r="J41" s="265">
        <f>Panoply!M55</f>
        <v>-4.7980008653862924</v>
      </c>
      <c r="K41" s="266">
        <f>Panoply!N55</f>
        <v>-1.8266140853606885</v>
      </c>
      <c r="L41" s="256"/>
    </row>
    <row r="42" spans="1:12" x14ac:dyDescent="0.2">
      <c r="A42" s="264" t="s">
        <v>54</v>
      </c>
      <c r="B42" s="264"/>
      <c r="C42" s="249" t="s">
        <v>64</v>
      </c>
      <c r="D42" s="256" t="str">
        <f t="shared" si="0"/>
        <v>E</v>
      </c>
      <c r="E42" s="265">
        <f>eee</f>
        <v>-2.843</v>
      </c>
      <c r="F42" s="265">
        <f>Panoply!G60</f>
        <v>16.829286135165443</v>
      </c>
      <c r="G42" s="266">
        <f>Panoply!H60</f>
        <v>8.0366088783121086</v>
      </c>
      <c r="H42" s="265">
        <f>Panoply!J56</f>
        <v>-16.829287000552611</v>
      </c>
      <c r="I42" s="266">
        <f>Panoply!K56</f>
        <v>-12.054913934341812</v>
      </c>
      <c r="J42" s="265">
        <f>Panoply!M60</f>
        <v>-8.6538721848522665E-7</v>
      </c>
      <c r="K42" s="266">
        <f>Panoply!N60</f>
        <v>-2.4674949372638366E-7</v>
      </c>
      <c r="L42" s="256"/>
    </row>
    <row r="43" spans="1:12" x14ac:dyDescent="0.2">
      <c r="A43" s="264" t="s">
        <v>55</v>
      </c>
      <c r="B43" s="264"/>
      <c r="C43" s="249" t="s">
        <v>70</v>
      </c>
      <c r="D43" s="256" t="str">
        <f t="shared" si="0"/>
        <v>B</v>
      </c>
      <c r="E43" s="265">
        <f>bee</f>
        <v>-0.88800000000000001</v>
      </c>
      <c r="F43" s="265">
        <f>Panoply!G53</f>
        <v>16.774286135165937</v>
      </c>
      <c r="G43" s="266">
        <f>Panoply!H53</f>
        <v>12.015325329689176</v>
      </c>
      <c r="H43" s="265">
        <f>Panoply!J49</f>
        <v>-21.472287000552463</v>
      </c>
      <c r="I43" s="266">
        <f>Panoply!K49</f>
        <v>-23.03949037110624</v>
      </c>
      <c r="J43" s="265">
        <f>Panoply!M53</f>
        <v>-4.6980008653866063</v>
      </c>
      <c r="K43" s="266">
        <f>Panoply!N53</f>
        <v>-2.006600950628922</v>
      </c>
      <c r="L43" s="256"/>
    </row>
    <row r="44" spans="1:12" x14ac:dyDescent="0.2">
      <c r="A44" s="264" t="s">
        <v>56</v>
      </c>
      <c r="B44" s="264"/>
      <c r="C44" s="249" t="s">
        <v>71</v>
      </c>
      <c r="D44" s="256" t="str">
        <f>LEFT(A44,2)</f>
        <v>F#</v>
      </c>
      <c r="E44" s="265">
        <f>fsharp</f>
        <v>-3.6309999999999998</v>
      </c>
      <c r="F44" s="265">
        <f>Panoply!G58</f>
        <v>21.517286135165563</v>
      </c>
      <c r="G44" s="266">
        <f>Panoply!H58</f>
        <v>11.544037273387971</v>
      </c>
      <c r="H44" s="265">
        <f>Panoply!J54</f>
        <v>-21.517287000552081</v>
      </c>
      <c r="I44" s="266">
        <f>Panoply!K54</f>
        <v>-17.316056602183835</v>
      </c>
      <c r="J44" s="265">
        <f>Panoply!M58</f>
        <v>-8.6538664186845572E-7</v>
      </c>
      <c r="K44" s="266">
        <f>Panoply!N58</f>
        <v>-2.7684075121214846E-7</v>
      </c>
      <c r="L44" s="256"/>
    </row>
    <row r="45" spans="1:12" x14ac:dyDescent="0.2">
      <c r="A45" s="264" t="s">
        <v>57</v>
      </c>
      <c r="B45" s="264"/>
      <c r="C45" s="249" t="s">
        <v>65</v>
      </c>
      <c r="D45" s="256" t="str">
        <f>LEFT(A45,2)</f>
        <v>C#</v>
      </c>
      <c r="E45" s="265">
        <f>csharp</f>
        <v>-1.6759999999999999</v>
      </c>
      <c r="F45" s="265">
        <f>Panoply!G63</f>
        <v>21.462286135164863</v>
      </c>
      <c r="G45" s="266">
        <f>Panoply!H63</f>
        <v>8.6357598396249386</v>
      </c>
      <c r="H45" s="265">
        <f>Panoply!J59</f>
        <v>-21.441287000552116</v>
      </c>
      <c r="I45" s="266">
        <f>Panoply!K59</f>
        <v>-12.941043978805965</v>
      </c>
      <c r="J45" s="265">
        <f>Panoply!M63</f>
        <v>2.0999134612990474E-2</v>
      </c>
      <c r="K45" s="266">
        <f>Panoply!N63</f>
        <v>5.0383122526227453E-3</v>
      </c>
      <c r="L45" s="256"/>
    </row>
    <row r="46" spans="1:12" x14ac:dyDescent="0.2">
      <c r="A46" s="264" t="s">
        <v>58</v>
      </c>
      <c r="B46" s="264"/>
      <c r="C46" s="249" t="s">
        <v>72</v>
      </c>
      <c r="D46" s="256" t="str">
        <f>LEFT(A46,2)</f>
        <v>Ab</v>
      </c>
      <c r="E46" s="265">
        <f>aflat</f>
        <v>0.3</v>
      </c>
      <c r="F46" s="265">
        <f>Panoply!G56</f>
        <v>21.485286135165317</v>
      </c>
      <c r="G46" s="266">
        <f>Panoply!H56</f>
        <v>12.967765101653413</v>
      </c>
      <c r="H46" s="265">
        <f>Panoply!J52</f>
        <v>-21.540287000551725</v>
      </c>
      <c r="I46" s="266">
        <f>Panoply!K52</f>
        <v>-19.501133408296027</v>
      </c>
      <c r="J46" s="265">
        <f>Panoply!M56</f>
        <v>-5.5000865386661532E-2</v>
      </c>
      <c r="K46" s="266">
        <f>Panoply!N56</f>
        <v>-1.9794302326317847E-2</v>
      </c>
      <c r="L46" s="256"/>
    </row>
    <row r="47" spans="1:12" x14ac:dyDescent="0.2">
      <c r="A47" s="264" t="s">
        <v>59</v>
      </c>
      <c r="B47" s="264"/>
      <c r="C47" s="249" t="s">
        <v>66</v>
      </c>
      <c r="D47" s="256" t="str">
        <f>LEFT(A47,2)</f>
        <v>Eb</v>
      </c>
      <c r="E47" s="265">
        <f>eflat</f>
        <v>2.2000000000000002</v>
      </c>
      <c r="F47" s="265">
        <f>Panoply!G61</f>
        <v>16.986286135165365</v>
      </c>
      <c r="G47" s="266">
        <f>Panoply!H61</f>
        <v>7.678997813052888</v>
      </c>
      <c r="H47" s="265">
        <f>Panoply!J57</f>
        <v>-16.941287000552229</v>
      </c>
      <c r="I47" s="266">
        <f>Panoply!K57</f>
        <v>-11.488131609785569</v>
      </c>
      <c r="J47" s="265">
        <f>Panoply!M61</f>
        <v>4.4999134612723299E-2</v>
      </c>
      <c r="K47" s="266">
        <f>Panoply!N61</f>
        <v>1.2146043917425686E-2</v>
      </c>
      <c r="L47" s="256"/>
    </row>
    <row r="48" spans="1:12" x14ac:dyDescent="0.2">
      <c r="A48" s="264" t="s">
        <v>60</v>
      </c>
      <c r="B48" s="264"/>
      <c r="C48" s="249" t="s">
        <v>73</v>
      </c>
      <c r="D48" s="256" t="str">
        <f>LEFT(A48,2)</f>
        <v>Bb</v>
      </c>
      <c r="E48" s="265">
        <f>bflat</f>
        <v>4.2</v>
      </c>
      <c r="F48" s="265">
        <f>Panoply!G54</f>
        <v>12.28628613516565</v>
      </c>
      <c r="G48" s="266">
        <f>Panoply!H54</f>
        <v>8.3202990003846935</v>
      </c>
      <c r="H48" s="265">
        <f>Panoply!J50</f>
        <v>-12.341287000552148</v>
      </c>
      <c r="I48" s="266">
        <f>Panoply!K50</f>
        <v>-12.536119654243976</v>
      </c>
      <c r="J48" s="265">
        <f>Panoply!M54</f>
        <v>-5.5000865386469318E-2</v>
      </c>
      <c r="K48" s="266">
        <f>Panoply!N54</f>
        <v>-2.2268461466751432E-2</v>
      </c>
      <c r="L48" s="256"/>
    </row>
    <row r="49" spans="1:12" x14ac:dyDescent="0.2">
      <c r="A49" s="264" t="s">
        <v>61</v>
      </c>
      <c r="B49" s="264"/>
      <c r="C49" s="249" t="s">
        <v>74</v>
      </c>
      <c r="D49" s="256" t="str">
        <f t="shared" si="0"/>
        <v>F</v>
      </c>
      <c r="E49" s="265">
        <f>eff</f>
        <v>6.1</v>
      </c>
      <c r="F49" s="265">
        <f>Panoply!G59</f>
        <v>7.5862861351655582</v>
      </c>
      <c r="G49" s="266">
        <f>Panoply!H59</f>
        <v>3.8477328597339238</v>
      </c>
      <c r="H49" s="265">
        <f>Panoply!J55</f>
        <v>-7.5422870005525713</v>
      </c>
      <c r="I49" s="266">
        <f>Panoply!K55</f>
        <v>-5.7381978860416893</v>
      </c>
      <c r="J49" s="265">
        <f>Panoply!M59</f>
        <v>4.3999134613262755E-2</v>
      </c>
      <c r="K49" s="266">
        <f>Panoply!N59</f>
        <v>1.3360561423723993E-2</v>
      </c>
      <c r="L49" s="256"/>
    </row>
    <row r="50" spans="1:12" x14ac:dyDescent="0.2">
      <c r="A50" s="264" t="s">
        <v>50</v>
      </c>
      <c r="B50" s="264"/>
      <c r="C50" s="267" t="s">
        <v>67</v>
      </c>
      <c r="D50" s="256" t="str">
        <f t="shared" si="0"/>
        <v>C</v>
      </c>
      <c r="E50" s="265">
        <f>cee</f>
        <v>8.0990000000000002</v>
      </c>
      <c r="F50" s="265">
        <f>Panoply!G52</f>
        <v>2.7442861351663637</v>
      </c>
      <c r="G50" s="266">
        <f>Panoply!H52</f>
        <v>2.0849697153203124</v>
      </c>
      <c r="H50" s="265">
        <f>Panoply!J48</f>
        <v>-7.2982870005525768</v>
      </c>
      <c r="I50" s="266">
        <f>Panoply!K48</f>
        <v>-8.3063768007177714</v>
      </c>
      <c r="J50" s="265">
        <f>Panoply!M52</f>
        <v>-4.5540008653866453</v>
      </c>
      <c r="K50" s="266">
        <f>Panoply!N52</f>
        <v>-2.0715688910950121</v>
      </c>
      <c r="L50" s="256"/>
    </row>
    <row r="51" spans="1:12" x14ac:dyDescent="0.2">
      <c r="E51" s="256"/>
      <c r="F51" s="256"/>
      <c r="G51" s="256"/>
      <c r="H51" s="256"/>
      <c r="I51" s="256"/>
      <c r="J51" s="256"/>
      <c r="K51" s="256"/>
      <c r="L51" s="256"/>
    </row>
    <row r="52" spans="1:12" x14ac:dyDescent="0.2"/>
    <row r="53" spans="1:12" x14ac:dyDescent="0.2">
      <c r="A53" s="249" t="s">
        <v>83</v>
      </c>
      <c r="C53" s="249" t="s">
        <v>75</v>
      </c>
      <c r="D53" s="249" t="s">
        <v>76</v>
      </c>
      <c r="E53" s="261" t="s">
        <v>182</v>
      </c>
      <c r="F53" s="262" t="s">
        <v>77</v>
      </c>
      <c r="G53" s="263" t="s">
        <v>78</v>
      </c>
      <c r="H53" s="262" t="s">
        <v>79</v>
      </c>
      <c r="I53" s="263" t="s">
        <v>80</v>
      </c>
      <c r="J53" s="262" t="s">
        <v>81</v>
      </c>
      <c r="K53" s="262" t="s">
        <v>82</v>
      </c>
      <c r="L53" s="256"/>
    </row>
    <row r="54" spans="1:12" x14ac:dyDescent="0.2">
      <c r="A54" s="264" t="s">
        <v>141</v>
      </c>
      <c r="B54" s="264"/>
      <c r="C54" s="249" t="s">
        <v>128</v>
      </c>
      <c r="D54" s="256" t="str">
        <f>D38</f>
        <v>C</v>
      </c>
      <c r="E54" s="265">
        <f>cee</f>
        <v>8.0990000000000002</v>
      </c>
      <c r="F54" s="265">
        <f t="shared" ref="F54:G57" si="1">F47</f>
        <v>16.986286135165365</v>
      </c>
      <c r="G54" s="266">
        <f t="shared" si="1"/>
        <v>7.678997813052888</v>
      </c>
      <c r="H54" s="265">
        <f>Panoply!J64</f>
        <v>-21.540287000552116</v>
      </c>
      <c r="I54" s="266">
        <f>Panoply!K64</f>
        <v>-9.7505667041480137</v>
      </c>
      <c r="J54" s="265">
        <f t="shared" ref="J54:K66" si="2">J38</f>
        <v>-4.554000865386838</v>
      </c>
      <c r="K54" s="266">
        <f t="shared" si="2"/>
        <v>-1.0357844455475629</v>
      </c>
      <c r="L54" s="256"/>
    </row>
    <row r="55" spans="1:12" x14ac:dyDescent="0.2">
      <c r="A55" s="264" t="s">
        <v>142</v>
      </c>
      <c r="B55" s="264"/>
      <c r="C55" s="249" t="s">
        <v>129</v>
      </c>
      <c r="D55" s="256" t="str">
        <f t="shared" ref="D55:D66" si="3">D39</f>
        <v>G</v>
      </c>
      <c r="E55" s="265">
        <f>gee</f>
        <v>5.5</v>
      </c>
      <c r="F55" s="265">
        <f t="shared" si="1"/>
        <v>12.28628613516565</v>
      </c>
      <c r="G55" s="266">
        <f t="shared" si="1"/>
        <v>8.3202990003846935</v>
      </c>
      <c r="H55" s="265">
        <f>H47</f>
        <v>-16.941287000552229</v>
      </c>
      <c r="I55" s="266">
        <f>I47</f>
        <v>-11.488131609785569</v>
      </c>
      <c r="J55" s="265">
        <f t="shared" si="2"/>
        <v>-4.6550008653865147</v>
      </c>
      <c r="K55" s="266">
        <f t="shared" si="2"/>
        <v>-1.5839163047004376</v>
      </c>
      <c r="L55" s="256"/>
    </row>
    <row r="56" spans="1:12" x14ac:dyDescent="0.2">
      <c r="A56" s="264" t="s">
        <v>143</v>
      </c>
      <c r="B56" s="264"/>
      <c r="C56" s="249" t="s">
        <v>130</v>
      </c>
      <c r="D56" s="256" t="str">
        <f t="shared" si="3"/>
        <v>D</v>
      </c>
      <c r="E56" s="265">
        <f>dee</f>
        <v>2.8</v>
      </c>
      <c r="F56" s="265">
        <f t="shared" si="1"/>
        <v>7.5862861351655582</v>
      </c>
      <c r="G56" s="266">
        <f t="shared" si="1"/>
        <v>3.8477328597339238</v>
      </c>
      <c r="H56" s="265">
        <f t="shared" ref="H56:I58" si="4">H48</f>
        <v>-12.341287000552148</v>
      </c>
      <c r="I56" s="266">
        <f>I48/2</f>
        <v>-6.2680598271219878</v>
      </c>
      <c r="J56" s="265">
        <f t="shared" si="2"/>
        <v>-4.7550008653868998</v>
      </c>
      <c r="K56" s="266">
        <f t="shared" si="2"/>
        <v>-1.2101634836940889</v>
      </c>
      <c r="L56" s="256"/>
    </row>
    <row r="57" spans="1:12" x14ac:dyDescent="0.2">
      <c r="A57" s="264" t="s">
        <v>144</v>
      </c>
      <c r="B57" s="264"/>
      <c r="C57" s="249" t="s">
        <v>131</v>
      </c>
      <c r="D57" s="256" t="str">
        <f t="shared" si="3"/>
        <v>A</v>
      </c>
      <c r="E57" s="265">
        <f>aaa</f>
        <v>0</v>
      </c>
      <c r="F57" s="265">
        <f t="shared" si="1"/>
        <v>2.7442861351663637</v>
      </c>
      <c r="G57" s="266">
        <f t="shared" si="1"/>
        <v>2.0849697153203124</v>
      </c>
      <c r="H57" s="265">
        <f t="shared" si="4"/>
        <v>-7.5422870005525713</v>
      </c>
      <c r="I57" s="266">
        <f t="shared" si="4"/>
        <v>-5.7381978860416893</v>
      </c>
      <c r="J57" s="265">
        <f t="shared" si="2"/>
        <v>-4.7980008653862924</v>
      </c>
      <c r="K57" s="266">
        <f t="shared" si="2"/>
        <v>-1.8266140853606885</v>
      </c>
      <c r="L57" s="256"/>
    </row>
    <row r="58" spans="1:12" x14ac:dyDescent="0.2">
      <c r="A58" s="264" t="s">
        <v>145</v>
      </c>
      <c r="B58" s="264"/>
      <c r="C58" s="249" t="s">
        <v>132</v>
      </c>
      <c r="D58" s="256" t="str">
        <f t="shared" si="3"/>
        <v>E</v>
      </c>
      <c r="E58" s="265">
        <f>eee</f>
        <v>-2.843</v>
      </c>
      <c r="F58" s="265">
        <f>F39</f>
        <v>7.2982861351655677</v>
      </c>
      <c r="G58" s="266">
        <f>G39</f>
        <v>4.1531879068598982</v>
      </c>
      <c r="H58" s="265">
        <f t="shared" si="4"/>
        <v>-7.2982870005525768</v>
      </c>
      <c r="I58" s="266">
        <f>I50/2</f>
        <v>-4.1531884003588857</v>
      </c>
      <c r="J58" s="265">
        <f t="shared" si="2"/>
        <v>-8.6538721848522665E-7</v>
      </c>
      <c r="K58" s="266">
        <f t="shared" si="2"/>
        <v>-2.4674949372638366E-7</v>
      </c>
      <c r="L58" s="256"/>
    </row>
    <row r="59" spans="1:12" x14ac:dyDescent="0.2">
      <c r="A59" s="264" t="s">
        <v>146</v>
      </c>
      <c r="B59" s="264"/>
      <c r="C59" s="249" t="s">
        <v>133</v>
      </c>
      <c r="D59" s="256" t="str">
        <f t="shared" si="3"/>
        <v>B</v>
      </c>
      <c r="E59" s="265">
        <f>bee</f>
        <v>-0.88800000000000001</v>
      </c>
      <c r="F59" s="265">
        <f t="shared" ref="F59:G66" si="5">F40</f>
        <v>7.2552861351654121</v>
      </c>
      <c r="G59" s="266">
        <f>G40*2</f>
        <v>6.1763707207830976</v>
      </c>
      <c r="H59" s="265">
        <f>H39</f>
        <v>-11.953287000552114</v>
      </c>
      <c r="I59" s="266">
        <f>I39</f>
        <v>-10.189572622040941</v>
      </c>
      <c r="J59" s="265">
        <f t="shared" si="2"/>
        <v>-4.6980008653866063</v>
      </c>
      <c r="K59" s="266">
        <f t="shared" si="2"/>
        <v>-2.006600950628922</v>
      </c>
      <c r="L59" s="256"/>
    </row>
    <row r="60" spans="1:12" x14ac:dyDescent="0.2">
      <c r="A60" s="264" t="s">
        <v>147</v>
      </c>
      <c r="B60" s="264"/>
      <c r="C60" s="249" t="s">
        <v>134</v>
      </c>
      <c r="D60" s="256" t="str">
        <f t="shared" si="3"/>
        <v>F#</v>
      </c>
      <c r="E60" s="265">
        <f>fsharp</f>
        <v>-3.6309999999999998</v>
      </c>
      <c r="F60" s="265">
        <f t="shared" si="5"/>
        <v>12.010286135165495</v>
      </c>
      <c r="G60" s="266">
        <f t="shared" si="5"/>
        <v>7.6576861961409577</v>
      </c>
      <c r="H60" s="265">
        <f t="shared" ref="H60:I66" si="6">H40</f>
        <v>-12.010287000552198</v>
      </c>
      <c r="I60" s="266">
        <f t="shared" si="6"/>
        <v>-7.6576867498224601</v>
      </c>
      <c r="J60" s="265">
        <f t="shared" si="2"/>
        <v>-8.6538664186845572E-7</v>
      </c>
      <c r="K60" s="266">
        <f t="shared" si="2"/>
        <v>-2.7684075121214846E-7</v>
      </c>
      <c r="L60" s="256"/>
    </row>
    <row r="61" spans="1:12" x14ac:dyDescent="0.2">
      <c r="A61" s="264" t="s">
        <v>148</v>
      </c>
      <c r="B61" s="264"/>
      <c r="C61" s="249" t="s">
        <v>135</v>
      </c>
      <c r="D61" s="256" t="str">
        <f t="shared" si="3"/>
        <v>C#</v>
      </c>
      <c r="E61" s="265">
        <f>csharp</f>
        <v>-1.6759999999999999</v>
      </c>
      <c r="F61" s="265">
        <f t="shared" si="5"/>
        <v>16.829286135165443</v>
      </c>
      <c r="G61" s="266">
        <f t="shared" si="5"/>
        <v>8.0366088783121086</v>
      </c>
      <c r="H61" s="265">
        <f t="shared" si="6"/>
        <v>-16.808287000551882</v>
      </c>
      <c r="I61" s="266">
        <f>I41/2</f>
        <v>-8.0265322538066357</v>
      </c>
      <c r="J61" s="265">
        <f t="shared" si="2"/>
        <v>2.0999134612990474E-2</v>
      </c>
      <c r="K61" s="266">
        <f t="shared" si="2"/>
        <v>5.0383122526227453E-3</v>
      </c>
      <c r="L61" s="256"/>
    </row>
    <row r="62" spans="1:12" x14ac:dyDescent="0.2">
      <c r="A62" s="264" t="s">
        <v>149</v>
      </c>
      <c r="B62" s="264"/>
      <c r="C62" s="249" t="s">
        <v>136</v>
      </c>
      <c r="D62" s="256" t="str">
        <f t="shared" si="3"/>
        <v>Ab</v>
      </c>
      <c r="E62" s="265">
        <f>aflat</f>
        <v>0.3</v>
      </c>
      <c r="F62" s="265">
        <f t="shared" si="5"/>
        <v>16.774286135165937</v>
      </c>
      <c r="G62" s="266">
        <f t="shared" si="5"/>
        <v>12.015325329689176</v>
      </c>
      <c r="H62" s="265">
        <f t="shared" si="6"/>
        <v>-16.829287000552611</v>
      </c>
      <c r="I62" s="266">
        <f t="shared" si="6"/>
        <v>-12.054913934341812</v>
      </c>
      <c r="J62" s="265">
        <f t="shared" si="2"/>
        <v>-5.5000865386661532E-2</v>
      </c>
      <c r="K62" s="266">
        <f t="shared" si="2"/>
        <v>-1.9794302326317847E-2</v>
      </c>
      <c r="L62" s="256"/>
    </row>
    <row r="63" spans="1:12" x14ac:dyDescent="0.2">
      <c r="A63" s="264" t="s">
        <v>150</v>
      </c>
      <c r="B63" s="264"/>
      <c r="C63" s="249" t="s">
        <v>137</v>
      </c>
      <c r="D63" s="256" t="str">
        <f t="shared" si="3"/>
        <v>Eb</v>
      </c>
      <c r="E63" s="265">
        <f>eflat</f>
        <v>2.2000000000000002</v>
      </c>
      <c r="F63" s="265">
        <f t="shared" si="5"/>
        <v>21.517286135165563</v>
      </c>
      <c r="G63" s="266">
        <f t="shared" si="5"/>
        <v>11.544037273387971</v>
      </c>
      <c r="H63" s="265">
        <f t="shared" si="6"/>
        <v>-21.472287000552463</v>
      </c>
      <c r="I63" s="266">
        <f>I43/2</f>
        <v>-11.51974518555312</v>
      </c>
      <c r="J63" s="265">
        <f t="shared" si="2"/>
        <v>4.4999134612723299E-2</v>
      </c>
      <c r="K63" s="266">
        <f t="shared" si="2"/>
        <v>1.2146043917425686E-2</v>
      </c>
      <c r="L63" s="256"/>
    </row>
    <row r="64" spans="1:12" x14ac:dyDescent="0.2">
      <c r="A64" s="264" t="s">
        <v>151</v>
      </c>
      <c r="B64" s="264"/>
      <c r="C64" s="249" t="s">
        <v>138</v>
      </c>
      <c r="D64" s="256" t="str">
        <f t="shared" si="3"/>
        <v>Bb</v>
      </c>
      <c r="E64" s="265">
        <f>bflat</f>
        <v>4.2</v>
      </c>
      <c r="F64" s="265">
        <f t="shared" si="5"/>
        <v>21.462286135164863</v>
      </c>
      <c r="G64" s="266">
        <f>G45*2</f>
        <v>17.271519679249877</v>
      </c>
      <c r="H64" s="265">
        <f t="shared" si="6"/>
        <v>-21.517287000552081</v>
      </c>
      <c r="I64" s="266">
        <f t="shared" si="6"/>
        <v>-17.316056602183835</v>
      </c>
      <c r="J64" s="265">
        <f t="shared" si="2"/>
        <v>-5.5000865386469318E-2</v>
      </c>
      <c r="K64" s="266">
        <f t="shared" si="2"/>
        <v>-2.2268461466751432E-2</v>
      </c>
      <c r="L64" s="256"/>
    </row>
    <row r="65" spans="1:28" x14ac:dyDescent="0.2">
      <c r="A65" s="264" t="s">
        <v>152</v>
      </c>
      <c r="B65" s="264"/>
      <c r="C65" s="249" t="s">
        <v>139</v>
      </c>
      <c r="D65" s="256" t="str">
        <f t="shared" si="3"/>
        <v>F</v>
      </c>
      <c r="E65" s="265">
        <f>eff</f>
        <v>6.1</v>
      </c>
      <c r="F65" s="265">
        <f t="shared" si="5"/>
        <v>21.485286135165317</v>
      </c>
      <c r="G65" s="266">
        <f t="shared" si="5"/>
        <v>12.967765101653413</v>
      </c>
      <c r="H65" s="265">
        <f t="shared" si="6"/>
        <v>-21.441287000552116</v>
      </c>
      <c r="I65" s="266">
        <f t="shared" si="6"/>
        <v>-12.941043978805965</v>
      </c>
      <c r="J65" s="265">
        <f t="shared" si="2"/>
        <v>4.3999134613262755E-2</v>
      </c>
      <c r="K65" s="266">
        <f t="shared" si="2"/>
        <v>1.3360561423723993E-2</v>
      </c>
      <c r="L65" s="256"/>
    </row>
    <row r="66" spans="1:28" x14ac:dyDescent="0.2">
      <c r="A66" s="264" t="s">
        <v>141</v>
      </c>
      <c r="B66" s="264"/>
      <c r="C66" s="267" t="s">
        <v>140</v>
      </c>
      <c r="D66" s="256" t="str">
        <f t="shared" si="3"/>
        <v>C</v>
      </c>
      <c r="E66" s="265">
        <f>cee</f>
        <v>8.0990000000000002</v>
      </c>
      <c r="F66" s="265">
        <f t="shared" si="5"/>
        <v>16.986286135165365</v>
      </c>
      <c r="G66" s="266">
        <f>G47*2</f>
        <v>15.357995626105776</v>
      </c>
      <c r="H66" s="265">
        <f t="shared" si="6"/>
        <v>-21.540287000551725</v>
      </c>
      <c r="I66" s="266">
        <f t="shared" si="6"/>
        <v>-19.501133408296027</v>
      </c>
      <c r="J66" s="265">
        <f t="shared" si="2"/>
        <v>-4.5540008653866453</v>
      </c>
      <c r="K66" s="266">
        <f t="shared" si="2"/>
        <v>-2.0715688910950121</v>
      </c>
      <c r="L66" s="256"/>
    </row>
    <row r="67" spans="1:28" x14ac:dyDescent="0.2"/>
    <row r="68" spans="1:28" x14ac:dyDescent="0.2"/>
    <row r="69" spans="1:28" x14ac:dyDescent="0.2"/>
    <row r="70" spans="1:28" ht="14" thickBot="1" x14ac:dyDescent="0.3">
      <c r="A70" s="248" t="s">
        <v>108</v>
      </c>
      <c r="B70" s="248"/>
      <c r="C70" s="248"/>
      <c r="D70" s="248"/>
      <c r="E70" s="248"/>
      <c r="F70" s="248"/>
      <c r="G70" s="248"/>
      <c r="H70" s="248"/>
    </row>
    <row r="71" spans="1:28" ht="14" thickBot="1" x14ac:dyDescent="0.3">
      <c r="A71" s="248" t="s">
        <v>109</v>
      </c>
      <c r="B71" s="248"/>
      <c r="D71" s="264" t="s">
        <v>94</v>
      </c>
      <c r="E71" s="264"/>
      <c r="F71" s="264" t="s">
        <v>95</v>
      </c>
      <c r="G71" s="264"/>
      <c r="H71" s="264" t="s">
        <v>96</v>
      </c>
      <c r="I71" s="264"/>
      <c r="J71" s="264" t="s">
        <v>97</v>
      </c>
      <c r="K71" s="264"/>
      <c r="L71" s="264" t="s">
        <v>98</v>
      </c>
      <c r="M71" s="264"/>
      <c r="N71" s="264" t="s">
        <v>99</v>
      </c>
      <c r="O71" s="264"/>
      <c r="P71" s="264" t="s">
        <v>100</v>
      </c>
      <c r="R71" s="249" t="s">
        <v>101</v>
      </c>
      <c r="T71" s="249" t="s">
        <v>102</v>
      </c>
      <c r="V71" s="249" t="s">
        <v>103</v>
      </c>
      <c r="X71" s="249" t="s">
        <v>104</v>
      </c>
      <c r="Z71" s="249" t="s">
        <v>105</v>
      </c>
      <c r="AB71" s="249" t="s">
        <v>94</v>
      </c>
    </row>
    <row r="72" spans="1:28" ht="10.5" x14ac:dyDescent="0.2">
      <c r="A72" s="277" t="s">
        <v>87</v>
      </c>
      <c r="B72" s="277"/>
      <c r="C72" s="277"/>
      <c r="D72" s="268">
        <f>F38</f>
        <v>2.7442861351655967</v>
      </c>
      <c r="F72" s="268">
        <f>F39</f>
        <v>7.2982861351655677</v>
      </c>
      <c r="H72" s="268">
        <f>F40</f>
        <v>7.2552861351654121</v>
      </c>
      <c r="J72" s="268">
        <f>F41</f>
        <v>12.010286135165495</v>
      </c>
      <c r="L72" s="268">
        <f>F42</f>
        <v>16.829286135165443</v>
      </c>
      <c r="N72" s="268">
        <f>F43</f>
        <v>16.774286135165937</v>
      </c>
      <c r="P72" s="268">
        <f>F44</f>
        <v>21.517286135165563</v>
      </c>
      <c r="R72" s="268">
        <f>F45</f>
        <v>21.462286135164863</v>
      </c>
      <c r="T72" s="268">
        <f>F46</f>
        <v>21.485286135165317</v>
      </c>
      <c r="V72" s="268">
        <f>F47</f>
        <v>16.986286135165365</v>
      </c>
      <c r="X72" s="268">
        <f>F48</f>
        <v>12.28628613516565</v>
      </c>
      <c r="Z72" s="268">
        <f>F49</f>
        <v>7.5862861351655582</v>
      </c>
      <c r="AB72" s="268">
        <f>F50</f>
        <v>2.7442861351663637</v>
      </c>
    </row>
    <row r="73" spans="1:28" ht="10.5" x14ac:dyDescent="0.2">
      <c r="A73" s="275" t="s">
        <v>79</v>
      </c>
      <c r="B73" s="275"/>
      <c r="C73" s="275"/>
      <c r="D73" s="268">
        <f>H38</f>
        <v>-7.2982870005527714</v>
      </c>
      <c r="F73" s="268">
        <f>H39</f>
        <v>-11.953287000552114</v>
      </c>
      <c r="H73" s="268">
        <f>H40</f>
        <v>-12.010287000552198</v>
      </c>
      <c r="J73" s="268">
        <f>H41</f>
        <v>-16.808287000551882</v>
      </c>
      <c r="L73" s="268">
        <f>H42</f>
        <v>-16.829287000552611</v>
      </c>
      <c r="N73" s="268">
        <f>H43</f>
        <v>-21.472287000552463</v>
      </c>
      <c r="P73" s="268">
        <f>H44</f>
        <v>-21.517287000552081</v>
      </c>
      <c r="R73" s="268">
        <f>H45</f>
        <v>-21.441287000552116</v>
      </c>
      <c r="T73" s="268">
        <f>H46</f>
        <v>-21.540287000551725</v>
      </c>
      <c r="V73" s="268">
        <f>H47</f>
        <v>-16.941287000552229</v>
      </c>
      <c r="X73" s="268">
        <f>H48</f>
        <v>-12.341287000552148</v>
      </c>
      <c r="Z73" s="268">
        <f>H49</f>
        <v>-7.5422870005525713</v>
      </c>
      <c r="AB73" s="268">
        <f>H50</f>
        <v>-7.2982870005525768</v>
      </c>
    </row>
    <row r="74" spans="1:28" ht="10.5" x14ac:dyDescent="0.2">
      <c r="A74" s="276" t="s">
        <v>81</v>
      </c>
      <c r="B74" s="276"/>
      <c r="C74" s="276"/>
      <c r="D74" s="268">
        <f>J38</f>
        <v>-4.554000865386838</v>
      </c>
      <c r="F74" s="268">
        <f>J39</f>
        <v>-4.6550008653865147</v>
      </c>
      <c r="H74" s="268">
        <f>J40</f>
        <v>-4.7550008653868998</v>
      </c>
      <c r="J74" s="268">
        <f>J41</f>
        <v>-4.7980008653862924</v>
      </c>
      <c r="L74" s="268">
        <f>J42</f>
        <v>-8.6538721848522665E-7</v>
      </c>
      <c r="N74" s="268">
        <f>J43</f>
        <v>-4.6980008653866063</v>
      </c>
      <c r="P74" s="268">
        <f>J44</f>
        <v>-8.6538664186845572E-7</v>
      </c>
      <c r="R74" s="268">
        <f>J45</f>
        <v>2.0999134612990474E-2</v>
      </c>
      <c r="T74" s="268">
        <f>J46</f>
        <v>-5.5000865386661532E-2</v>
      </c>
      <c r="V74" s="268">
        <f>J47</f>
        <v>4.4999134612723299E-2</v>
      </c>
      <c r="X74" s="268">
        <f>J48</f>
        <v>-5.5000865386469318E-2</v>
      </c>
      <c r="Z74" s="268">
        <f>J49</f>
        <v>4.3999134613262755E-2</v>
      </c>
      <c r="AB74" s="268">
        <f>J50</f>
        <v>-4.5540008653866453</v>
      </c>
    </row>
    <row r="75" spans="1:28" ht="10.5" x14ac:dyDescent="0.2">
      <c r="A75" s="277" t="s">
        <v>78</v>
      </c>
      <c r="B75" s="277"/>
      <c r="C75" s="277"/>
      <c r="D75" s="269">
        <f>G38</f>
        <v>1.0424848576599288</v>
      </c>
      <c r="F75" s="269">
        <f>G39</f>
        <v>4.1531879068598982</v>
      </c>
      <c r="H75" s="269">
        <f>G40</f>
        <v>3.0881853603915488</v>
      </c>
      <c r="J75" s="269">
        <f>G41</f>
        <v>7.6576861961409577</v>
      </c>
      <c r="L75" s="269">
        <f>G42</f>
        <v>8.0366088783121086</v>
      </c>
      <c r="N75" s="269">
        <f>G43</f>
        <v>12.015325329689176</v>
      </c>
      <c r="P75" s="269">
        <f>G44</f>
        <v>11.544037273387971</v>
      </c>
      <c r="R75" s="269">
        <f>G45</f>
        <v>8.6357598396249386</v>
      </c>
      <c r="T75" s="269">
        <f>G46</f>
        <v>12.967765101653413</v>
      </c>
      <c r="V75" s="269">
        <f>G47</f>
        <v>7.678997813052888</v>
      </c>
      <c r="X75" s="269">
        <f>G48</f>
        <v>8.3202990003846935</v>
      </c>
      <c r="Z75" s="269">
        <f>G49</f>
        <v>3.8477328597339238</v>
      </c>
      <c r="AB75" s="269">
        <f>G50</f>
        <v>2.0849697153203124</v>
      </c>
    </row>
    <row r="76" spans="1:28" ht="10.5" x14ac:dyDescent="0.2">
      <c r="A76" s="275" t="s">
        <v>80</v>
      </c>
      <c r="B76" s="275"/>
      <c r="C76" s="275"/>
      <c r="D76" s="269">
        <f>I38</f>
        <v>-4.1531884003588857</v>
      </c>
      <c r="F76" s="269">
        <f>I39</f>
        <v>-10.189572622040941</v>
      </c>
      <c r="H76" s="269">
        <f>I40</f>
        <v>-7.6576867498224601</v>
      </c>
      <c r="J76" s="269">
        <f>I41</f>
        <v>-16.053064507613271</v>
      </c>
      <c r="L76" s="269">
        <f>I42</f>
        <v>-12.054913934341812</v>
      </c>
      <c r="N76" s="269">
        <f>I43</f>
        <v>-23.03949037110624</v>
      </c>
      <c r="P76" s="269">
        <f>I44</f>
        <v>-17.316056602183835</v>
      </c>
      <c r="R76" s="269">
        <f>I45</f>
        <v>-12.941043978805965</v>
      </c>
      <c r="T76" s="269">
        <f>I46</f>
        <v>-19.501133408296027</v>
      </c>
      <c r="V76" s="269">
        <f>I47</f>
        <v>-11.488131609785569</v>
      </c>
      <c r="X76" s="269">
        <f>I48</f>
        <v>-12.536119654243976</v>
      </c>
      <c r="Z76" s="269">
        <f>I49</f>
        <v>-5.7381978860416893</v>
      </c>
      <c r="AB76" s="269">
        <f>I50</f>
        <v>-8.3063768007177714</v>
      </c>
    </row>
    <row r="77" spans="1:28" ht="10.5" x14ac:dyDescent="0.2">
      <c r="A77" s="276" t="s">
        <v>82</v>
      </c>
      <c r="B77" s="276"/>
      <c r="C77" s="276"/>
      <c r="D77" s="269">
        <f>K38</f>
        <v>-1.0357844455475629</v>
      </c>
      <c r="F77" s="269">
        <f>K39</f>
        <v>-1.5839163047004376</v>
      </c>
      <c r="H77" s="269">
        <f>K40</f>
        <v>-1.2101634836940889</v>
      </c>
      <c r="J77" s="269">
        <f>K41</f>
        <v>-1.8266140853606885</v>
      </c>
      <c r="L77" s="269">
        <f>K42</f>
        <v>-2.4674949372638366E-7</v>
      </c>
      <c r="N77" s="269">
        <f>K43</f>
        <v>-2.006600950628922</v>
      </c>
      <c r="P77" s="269">
        <f>K44</f>
        <v>-2.7684075121214846E-7</v>
      </c>
      <c r="R77" s="269">
        <f>K45</f>
        <v>5.0383122526227453E-3</v>
      </c>
      <c r="T77" s="269">
        <f>K46</f>
        <v>-1.9794302326317847E-2</v>
      </c>
      <c r="V77" s="269">
        <f>K47</f>
        <v>1.2146043917425686E-2</v>
      </c>
      <c r="X77" s="269">
        <f>K48</f>
        <v>-2.2268461466751432E-2</v>
      </c>
      <c r="Z77" s="269">
        <f>K49</f>
        <v>1.3360561423723993E-2</v>
      </c>
      <c r="AB77" s="269">
        <f>K50</f>
        <v>-2.0715688910950121</v>
      </c>
    </row>
    <row r="78" spans="1:28" x14ac:dyDescent="0.2"/>
    <row r="79" spans="1:28" x14ac:dyDescent="0.2"/>
  </sheetData>
  <sheetProtection algorithmName="SHA-512" hashValue="eSF4DgaqT9qgrUSiaWBAZztKVRwhMwnLzz8lj9UcUkeayWCyiIbZKjLMs4WJmLQPaGnOLzL3ijhd1WCybipitw==" saltValue="d4b4ziaegSoHfhLBWCLLkQ==" spinCount="100000" sheet="1" objects="1" scenarios="1"/>
  <mergeCells count="6">
    <mergeCell ref="A76:C76"/>
    <mergeCell ref="A77:C77"/>
    <mergeCell ref="A72:C72"/>
    <mergeCell ref="A73:C73"/>
    <mergeCell ref="A74:C74"/>
    <mergeCell ref="A75:C75"/>
  </mergeCells>
  <pageMargins left="0.7" right="0.7" top="0.75" bottom="0.75" header="0.3" footer="0.3"/>
  <pageSetup orientation="portrait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J107"/>
  <sheetViews>
    <sheetView showGridLines="0" showRowColHeaders="0" zoomScale="80" zoomScaleNormal="80" workbookViewId="0">
      <selection sqref="A1:XFD107"/>
    </sheetView>
  </sheetViews>
  <sheetFormatPr defaultColWidth="0" defaultRowHeight="13" zeroHeight="1" x14ac:dyDescent="0.3"/>
  <cols>
    <col min="1" max="1" width="11.3828125" style="49" customWidth="1"/>
    <col min="2" max="2" width="2.61328125" style="49" customWidth="1"/>
    <col min="3" max="3" width="3.15234375" style="49" customWidth="1"/>
    <col min="4" max="4" width="4.15234375" style="49" customWidth="1"/>
    <col min="5" max="5" width="1" style="49" customWidth="1"/>
    <col min="6" max="6" width="4.15234375" style="49" customWidth="1"/>
    <col min="7" max="7" width="1" style="49" customWidth="1"/>
    <col min="8" max="8" width="4.15234375" style="49" customWidth="1"/>
    <col min="9" max="9" width="1" style="49" customWidth="1"/>
    <col min="10" max="10" width="4.15234375" style="49" customWidth="1"/>
    <col min="11" max="11" width="1" style="49" customWidth="1"/>
    <col min="12" max="12" width="4.15234375" style="50" customWidth="1"/>
    <col min="13" max="13" width="1" style="49" customWidth="1"/>
    <col min="14" max="14" width="4.15234375" style="49" customWidth="1"/>
    <col min="15" max="15" width="1" style="49" customWidth="1"/>
    <col min="16" max="16" width="4.15234375" style="49" customWidth="1"/>
    <col min="17" max="17" width="1" style="49" customWidth="1"/>
    <col min="18" max="18" width="4.15234375" style="49" customWidth="1"/>
    <col min="19" max="19" width="1" style="49" customWidth="1"/>
    <col min="20" max="20" width="4.15234375" style="49" customWidth="1"/>
    <col min="21" max="21" width="1" style="49" customWidth="1"/>
    <col min="22" max="22" width="4.15234375" style="49" customWidth="1"/>
    <col min="23" max="23" width="1" style="49" customWidth="1"/>
    <col min="24" max="24" width="4.15234375" style="49" customWidth="1"/>
    <col min="25" max="25" width="1" style="49" customWidth="1"/>
    <col min="26" max="26" width="4.15234375" style="49" customWidth="1"/>
    <col min="27" max="27" width="1" style="49" customWidth="1"/>
    <col min="28" max="28" width="4.15234375" style="49" customWidth="1"/>
    <col min="29" max="29" width="1" style="49" customWidth="1"/>
    <col min="30" max="30" width="9" style="49" customWidth="1"/>
    <col min="31" max="31" width="11.3828125" style="49" customWidth="1"/>
    <col min="32" max="32" width="2.3828125" style="49" customWidth="1"/>
    <col min="33" max="33" width="3.15234375" style="49" customWidth="1"/>
    <col min="34" max="34" width="4.15234375" style="49" customWidth="1"/>
    <col min="35" max="35" width="1" style="49" customWidth="1"/>
    <col min="36" max="36" width="4.15234375" style="49" customWidth="1"/>
    <col min="37" max="37" width="1" style="49" customWidth="1"/>
    <col min="38" max="38" width="4.15234375" style="49" customWidth="1"/>
    <col min="39" max="39" width="1" style="49" customWidth="1"/>
    <col min="40" max="40" width="4.15234375" style="49" customWidth="1"/>
    <col min="41" max="41" width="1" style="49" customWidth="1"/>
    <col min="42" max="42" width="4.15234375" style="49" customWidth="1"/>
    <col min="43" max="43" width="1" style="49" customWidth="1"/>
    <col min="44" max="44" width="4.15234375" style="49" customWidth="1"/>
    <col min="45" max="45" width="1" style="49" customWidth="1"/>
    <col min="46" max="46" width="4.15234375" style="49" customWidth="1"/>
    <col min="47" max="47" width="1" style="49" customWidth="1"/>
    <col min="48" max="48" width="4.15234375" style="49" customWidth="1"/>
    <col min="49" max="49" width="1" style="49" customWidth="1"/>
    <col min="50" max="50" width="4.15234375" style="49" customWidth="1"/>
    <col min="51" max="51" width="1" style="49" customWidth="1"/>
    <col min="52" max="52" width="4.15234375" style="49" customWidth="1"/>
    <col min="53" max="53" width="1" style="49" customWidth="1"/>
    <col min="54" max="54" width="4.15234375" style="49" customWidth="1"/>
    <col min="55" max="55" width="1" style="49" customWidth="1"/>
    <col min="56" max="56" width="4.15234375" style="49" customWidth="1"/>
    <col min="57" max="57" width="1" style="49" customWidth="1"/>
    <col min="58" max="58" width="4.15234375" style="49" customWidth="1"/>
    <col min="59" max="59" width="1" style="49" customWidth="1"/>
    <col min="60" max="60" width="4.15234375" style="49" customWidth="1"/>
    <col min="61" max="61" width="1" style="49" hidden="1" customWidth="1"/>
    <col min="62" max="16384" width="0" style="49" hidden="1"/>
  </cols>
  <sheetData>
    <row r="1" spans="1:62" s="174" customFormat="1" ht="22" customHeight="1" x14ac:dyDescent="0.3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</row>
    <row r="2" spans="1:62" s="178" customFormat="1" ht="55.5" customHeight="1" x14ac:dyDescent="0.25">
      <c r="A2" s="173" t="s">
        <v>155</v>
      </c>
      <c r="B2" s="176"/>
      <c r="C2" s="177"/>
      <c r="D2" s="290" t="s">
        <v>195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177"/>
      <c r="AE2" s="175" t="s">
        <v>154</v>
      </c>
      <c r="AF2" s="179"/>
      <c r="AG2" s="179"/>
      <c r="AH2" s="291" t="s">
        <v>196</v>
      </c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179"/>
    </row>
    <row r="3" spans="1:62" s="178" customFormat="1" ht="23.15" customHeight="1" x14ac:dyDescent="0.25">
      <c r="A3" s="177"/>
      <c r="B3" s="180" t="s">
        <v>89</v>
      </c>
      <c r="C3" s="181"/>
      <c r="D3" s="182"/>
      <c r="E3" s="182"/>
      <c r="F3" s="182"/>
      <c r="G3" s="182"/>
      <c r="H3" s="182"/>
      <c r="I3" s="182"/>
      <c r="J3" s="182"/>
      <c r="K3" s="182"/>
      <c r="L3" s="183"/>
      <c r="M3" s="182"/>
      <c r="N3" s="182"/>
      <c r="O3" s="182"/>
      <c r="P3" s="182"/>
      <c r="Q3" s="182"/>
      <c r="R3" s="182"/>
      <c r="S3" s="182"/>
      <c r="T3" s="292"/>
      <c r="U3" s="292"/>
      <c r="V3" s="292"/>
      <c r="W3" s="292"/>
      <c r="X3" s="292"/>
      <c r="Y3" s="292"/>
      <c r="Z3" s="292"/>
      <c r="AA3" s="292"/>
      <c r="AB3" s="292"/>
      <c r="AC3" s="182"/>
      <c r="AE3" s="179"/>
      <c r="AF3" s="184" t="s">
        <v>89</v>
      </c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293"/>
      <c r="AY3" s="293"/>
      <c r="AZ3" s="293"/>
      <c r="BA3" s="293"/>
      <c r="BB3" s="293"/>
      <c r="BC3" s="293"/>
      <c r="BD3" s="293"/>
      <c r="BE3" s="293"/>
      <c r="BF3" s="293"/>
      <c r="BG3" s="179"/>
    </row>
    <row r="4" spans="1:62" s="178" customFormat="1" ht="48" customHeight="1" x14ac:dyDescent="0.25">
      <c r="A4" s="177"/>
      <c r="B4" s="185" t="s">
        <v>90</v>
      </c>
      <c r="C4" s="185"/>
      <c r="D4" s="186"/>
      <c r="E4" s="186"/>
      <c r="F4" s="186"/>
      <c r="G4" s="186"/>
      <c r="H4" s="186"/>
      <c r="I4" s="186"/>
      <c r="J4" s="186"/>
      <c r="K4" s="186"/>
      <c r="L4" s="187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E4" s="179"/>
      <c r="AF4" s="188" t="s">
        <v>90</v>
      </c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</row>
    <row r="5" spans="1:62" s="178" customFormat="1" ht="85" customHeight="1" x14ac:dyDescent="0.25">
      <c r="A5" s="190"/>
      <c r="B5" s="191" t="s">
        <v>91</v>
      </c>
      <c r="C5" s="192"/>
      <c r="D5" s="177"/>
      <c r="E5" s="177"/>
      <c r="F5" s="177"/>
      <c r="G5" s="177"/>
      <c r="H5" s="177"/>
      <c r="I5" s="177"/>
      <c r="J5" s="177"/>
      <c r="K5" s="177"/>
      <c r="L5" s="193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E5" s="194"/>
      <c r="AF5" s="195" t="s">
        <v>91</v>
      </c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</row>
    <row r="6" spans="1:62" s="178" customFormat="1" ht="12" customHeight="1" x14ac:dyDescent="0.25">
      <c r="A6" s="177"/>
      <c r="B6" s="196" t="s">
        <v>119</v>
      </c>
      <c r="C6" s="197"/>
      <c r="D6" s="198"/>
      <c r="E6" s="198"/>
      <c r="F6" s="198"/>
      <c r="G6" s="198"/>
      <c r="H6" s="198"/>
      <c r="I6" s="198"/>
      <c r="J6" s="198"/>
      <c r="K6" s="198"/>
      <c r="L6" s="199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E6" s="179"/>
      <c r="AF6" s="200" t="s">
        <v>119</v>
      </c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</row>
    <row r="7" spans="1:62" s="178" customFormat="1" ht="84.75" customHeight="1" x14ac:dyDescent="0.25">
      <c r="A7" s="177"/>
      <c r="B7" s="202" t="s">
        <v>92</v>
      </c>
      <c r="C7" s="203"/>
      <c r="D7" s="177"/>
      <c r="E7" s="177"/>
      <c r="F7" s="177"/>
      <c r="G7" s="177"/>
      <c r="H7" s="177"/>
      <c r="I7" s="177"/>
      <c r="J7" s="177"/>
      <c r="K7" s="177"/>
      <c r="L7" s="193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E7" s="179"/>
      <c r="AF7" s="204" t="s">
        <v>92</v>
      </c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</row>
    <row r="8" spans="1:62" s="178" customFormat="1" ht="36" customHeight="1" x14ac:dyDescent="0.15">
      <c r="A8" s="177"/>
      <c r="B8" s="205" t="s">
        <v>93</v>
      </c>
      <c r="C8" s="206"/>
      <c r="D8" s="206"/>
      <c r="E8" s="206"/>
      <c r="F8" s="206"/>
      <c r="G8" s="206"/>
      <c r="H8" s="206"/>
      <c r="I8" s="206"/>
      <c r="J8" s="206"/>
      <c r="K8" s="206"/>
      <c r="L8" s="207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E8" s="179"/>
      <c r="AF8" s="208" t="s">
        <v>93</v>
      </c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</row>
    <row r="9" spans="1:62" s="178" customFormat="1" ht="21.75" customHeight="1" x14ac:dyDescent="0.25">
      <c r="A9" s="177"/>
      <c r="B9" s="176"/>
      <c r="C9" s="177"/>
      <c r="D9" s="177"/>
      <c r="E9" s="177"/>
      <c r="F9" s="177"/>
      <c r="G9" s="177"/>
      <c r="H9" s="177"/>
      <c r="I9" s="177"/>
      <c r="J9" s="177"/>
      <c r="K9" s="177"/>
      <c r="L9" s="193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E9" s="179"/>
      <c r="AF9" s="210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J9" s="211"/>
    </row>
    <row r="10" spans="1:62" s="215" customFormat="1" ht="24" customHeight="1" x14ac:dyDescent="0.35">
      <c r="A10" s="212"/>
      <c r="B10" s="213"/>
      <c r="C10" s="214" t="s">
        <v>153</v>
      </c>
      <c r="D10" s="287">
        <f>cee</f>
        <v>8.0990000000000002</v>
      </c>
      <c r="E10" s="287"/>
      <c r="F10" s="287">
        <f>gee</f>
        <v>5.5</v>
      </c>
      <c r="G10" s="287"/>
      <c r="H10" s="287">
        <f>dee</f>
        <v>2.8</v>
      </c>
      <c r="I10" s="287"/>
      <c r="J10" s="287">
        <f>aaa</f>
        <v>0</v>
      </c>
      <c r="K10" s="287"/>
      <c r="L10" s="287">
        <f>eee</f>
        <v>-2.843</v>
      </c>
      <c r="M10" s="287"/>
      <c r="N10" s="287">
        <f>bee</f>
        <v>-0.88800000000000001</v>
      </c>
      <c r="O10" s="287"/>
      <c r="P10" s="287">
        <f>fsharp</f>
        <v>-3.6309999999999998</v>
      </c>
      <c r="Q10" s="287"/>
      <c r="R10" s="287">
        <f>csharp</f>
        <v>-1.6759999999999999</v>
      </c>
      <c r="S10" s="287"/>
      <c r="T10" s="287">
        <f>aflat</f>
        <v>0.3</v>
      </c>
      <c r="U10" s="287"/>
      <c r="V10" s="287">
        <f>eflat</f>
        <v>2.2000000000000002</v>
      </c>
      <c r="W10" s="287"/>
      <c r="X10" s="287">
        <f>bflat</f>
        <v>4.2</v>
      </c>
      <c r="Y10" s="287"/>
      <c r="Z10" s="287">
        <f>eff</f>
        <v>6.1</v>
      </c>
      <c r="AA10" s="287"/>
      <c r="AB10" s="287">
        <f>cee</f>
        <v>8.0990000000000002</v>
      </c>
      <c r="AC10" s="287"/>
      <c r="AE10" s="216"/>
      <c r="AF10" s="217"/>
      <c r="AG10" s="218" t="s">
        <v>167</v>
      </c>
      <c r="AH10" s="289">
        <f>D10</f>
        <v>8.0990000000000002</v>
      </c>
      <c r="AI10" s="289"/>
      <c r="AJ10" s="289">
        <f t="shared" ref="AJ10" si="0">F10</f>
        <v>5.5</v>
      </c>
      <c r="AK10" s="289"/>
      <c r="AL10" s="289">
        <f t="shared" ref="AL10" si="1">H10</f>
        <v>2.8</v>
      </c>
      <c r="AM10" s="289"/>
      <c r="AN10" s="289">
        <f t="shared" ref="AN10" si="2">J10</f>
        <v>0</v>
      </c>
      <c r="AO10" s="289"/>
      <c r="AP10" s="289">
        <f t="shared" ref="AP10" si="3">L10</f>
        <v>-2.843</v>
      </c>
      <c r="AQ10" s="289"/>
      <c r="AR10" s="289">
        <f t="shared" ref="AR10" si="4">N10</f>
        <v>-0.88800000000000001</v>
      </c>
      <c r="AS10" s="289"/>
      <c r="AT10" s="289">
        <f t="shared" ref="AT10" si="5">P10</f>
        <v>-3.6309999999999998</v>
      </c>
      <c r="AU10" s="289"/>
      <c r="AV10" s="289">
        <f t="shared" ref="AV10" si="6">R10</f>
        <v>-1.6759999999999999</v>
      </c>
      <c r="AW10" s="289"/>
      <c r="AX10" s="289">
        <f t="shared" ref="AX10" si="7">T10</f>
        <v>0.3</v>
      </c>
      <c r="AY10" s="289"/>
      <c r="AZ10" s="289">
        <f t="shared" ref="AZ10" si="8">V10</f>
        <v>2.2000000000000002</v>
      </c>
      <c r="BA10" s="289"/>
      <c r="BB10" s="289">
        <f t="shared" ref="BB10" si="9">X10</f>
        <v>4.2</v>
      </c>
      <c r="BC10" s="289"/>
      <c r="BD10" s="289">
        <f t="shared" ref="BD10" si="10">Z10</f>
        <v>6.1</v>
      </c>
      <c r="BE10" s="289"/>
      <c r="BF10" s="289">
        <f t="shared" ref="BF10" si="11">AB10</f>
        <v>8.0990000000000002</v>
      </c>
      <c r="BG10" s="289"/>
    </row>
    <row r="11" spans="1:62" s="215" customFormat="1" ht="15.75" customHeight="1" x14ac:dyDescent="0.35">
      <c r="A11" s="212"/>
      <c r="B11" s="219"/>
      <c r="C11" s="220" t="s">
        <v>166</v>
      </c>
      <c r="D11" s="288">
        <f>cee-equalized</f>
        <v>8.0990000000000002</v>
      </c>
      <c r="E11" s="288"/>
      <c r="F11" s="288">
        <f>gee-equalized</f>
        <v>5.5</v>
      </c>
      <c r="G11" s="288"/>
      <c r="H11" s="288">
        <f>dee-equalized</f>
        <v>2.8</v>
      </c>
      <c r="I11" s="288"/>
      <c r="J11" s="288">
        <f>aaa-equalized</f>
        <v>0</v>
      </c>
      <c r="K11" s="288"/>
      <c r="L11" s="288">
        <f>eee-equalized</f>
        <v>-2.843</v>
      </c>
      <c r="M11" s="288"/>
      <c r="N11" s="288">
        <f>bee-equalized</f>
        <v>-0.88800000000000001</v>
      </c>
      <c r="O11" s="288"/>
      <c r="P11" s="288">
        <f>fsharp-equalized</f>
        <v>-3.6309999999999998</v>
      </c>
      <c r="Q11" s="288"/>
      <c r="R11" s="288">
        <f>csharp-equalized</f>
        <v>-1.6759999999999999</v>
      </c>
      <c r="S11" s="288"/>
      <c r="T11" s="288">
        <f>aflat-equalized</f>
        <v>0.3</v>
      </c>
      <c r="U11" s="288"/>
      <c r="V11" s="288">
        <f>eflat-equalized</f>
        <v>2.2000000000000002</v>
      </c>
      <c r="W11" s="288"/>
      <c r="X11" s="288">
        <f>bflat-equalized</f>
        <v>4.2</v>
      </c>
      <c r="Y11" s="288"/>
      <c r="Z11" s="288">
        <f>eff-equalized</f>
        <v>6.1</v>
      </c>
      <c r="AA11" s="288"/>
      <c r="AB11" s="288">
        <f>cee-equalized</f>
        <v>8.0990000000000002</v>
      </c>
      <c r="AC11" s="288"/>
      <c r="AE11" s="216"/>
      <c r="AF11" s="221"/>
      <c r="AG11" s="222" t="str">
        <f>C11</f>
        <v>Offset to equalize tension➤</v>
      </c>
      <c r="AH11" s="294">
        <f>D11</f>
        <v>8.0990000000000002</v>
      </c>
      <c r="AI11" s="294"/>
      <c r="AJ11" s="294">
        <f t="shared" ref="AJ11" si="12">F11</f>
        <v>5.5</v>
      </c>
      <c r="AK11" s="294"/>
      <c r="AL11" s="294">
        <f t="shared" ref="AL11" si="13">H11</f>
        <v>2.8</v>
      </c>
      <c r="AM11" s="294"/>
      <c r="AN11" s="294">
        <f t="shared" ref="AN11" si="14">J11</f>
        <v>0</v>
      </c>
      <c r="AO11" s="294"/>
      <c r="AP11" s="294">
        <f t="shared" ref="AP11" si="15">L11</f>
        <v>-2.843</v>
      </c>
      <c r="AQ11" s="294"/>
      <c r="AR11" s="294">
        <f t="shared" ref="AR11" si="16">N11</f>
        <v>-0.88800000000000001</v>
      </c>
      <c r="AS11" s="294"/>
      <c r="AT11" s="294">
        <f t="shared" ref="AT11" si="17">P11</f>
        <v>-3.6309999999999998</v>
      </c>
      <c r="AU11" s="294"/>
      <c r="AV11" s="294">
        <f t="shared" ref="AV11" si="18">R11</f>
        <v>-1.6759999999999999</v>
      </c>
      <c r="AW11" s="294"/>
      <c r="AX11" s="294">
        <f t="shared" ref="AX11" si="19">T11</f>
        <v>0.3</v>
      </c>
      <c r="AY11" s="294"/>
      <c r="AZ11" s="294">
        <f t="shared" ref="AZ11" si="20">V11</f>
        <v>2.2000000000000002</v>
      </c>
      <c r="BA11" s="294"/>
      <c r="BB11" s="294">
        <f t="shared" ref="BB11" si="21">X11</f>
        <v>4.2</v>
      </c>
      <c r="BC11" s="294"/>
      <c r="BD11" s="294">
        <f t="shared" ref="BD11" si="22">Z11</f>
        <v>6.1</v>
      </c>
      <c r="BE11" s="294"/>
      <c r="BF11" s="294">
        <f t="shared" ref="BF11" si="23">AB11</f>
        <v>8.0990000000000002</v>
      </c>
      <c r="BG11" s="294"/>
    </row>
    <row r="12" spans="1:62" s="225" customFormat="1" ht="24" customHeight="1" x14ac:dyDescent="0.35">
      <c r="A12" s="295" t="s">
        <v>109</v>
      </c>
      <c r="B12" s="295"/>
      <c r="C12" s="295"/>
      <c r="D12" s="223" t="s">
        <v>168</v>
      </c>
      <c r="E12" s="223"/>
      <c r="F12" s="223" t="s">
        <v>5</v>
      </c>
      <c r="G12" s="223"/>
      <c r="H12" s="223" t="s">
        <v>10</v>
      </c>
      <c r="I12" s="223"/>
      <c r="J12" s="223" t="s">
        <v>3</v>
      </c>
      <c r="K12" s="223"/>
      <c r="L12" s="223" t="s">
        <v>8</v>
      </c>
      <c r="M12" s="223"/>
      <c r="N12" s="223" t="s">
        <v>1</v>
      </c>
      <c r="O12" s="223"/>
      <c r="P12" s="223" t="s">
        <v>6</v>
      </c>
      <c r="Q12" s="223"/>
      <c r="R12" s="223" t="s">
        <v>11</v>
      </c>
      <c r="S12" s="223"/>
      <c r="T12" s="223" t="s">
        <v>169</v>
      </c>
      <c r="U12" s="223"/>
      <c r="V12" s="223" t="s">
        <v>170</v>
      </c>
      <c r="W12" s="223"/>
      <c r="X12" s="223" t="s">
        <v>171</v>
      </c>
      <c r="Y12" s="223"/>
      <c r="Z12" s="223" t="s">
        <v>7</v>
      </c>
      <c r="AA12" s="223"/>
      <c r="AB12" s="223" t="s">
        <v>110</v>
      </c>
      <c r="AC12" s="224"/>
      <c r="AE12" s="296" t="s">
        <v>172</v>
      </c>
      <c r="AF12" s="296"/>
      <c r="AG12" s="296"/>
      <c r="AH12" s="226" t="s">
        <v>168</v>
      </c>
      <c r="AI12" s="226"/>
      <c r="AJ12" s="226" t="s">
        <v>5</v>
      </c>
      <c r="AK12" s="226"/>
      <c r="AL12" s="226" t="s">
        <v>10</v>
      </c>
      <c r="AM12" s="226"/>
      <c r="AN12" s="226" t="s">
        <v>3</v>
      </c>
      <c r="AO12" s="226"/>
      <c r="AP12" s="226" t="s">
        <v>8</v>
      </c>
      <c r="AQ12" s="226"/>
      <c r="AR12" s="226" t="s">
        <v>1</v>
      </c>
      <c r="AS12" s="226"/>
      <c r="AT12" s="226" t="s">
        <v>6</v>
      </c>
      <c r="AU12" s="226"/>
      <c r="AV12" s="226" t="s">
        <v>11</v>
      </c>
      <c r="AW12" s="226"/>
      <c r="AX12" s="226" t="s">
        <v>169</v>
      </c>
      <c r="AY12" s="226"/>
      <c r="AZ12" s="226" t="s">
        <v>170</v>
      </c>
      <c r="BA12" s="226"/>
      <c r="BB12" s="226" t="s">
        <v>171</v>
      </c>
      <c r="BC12" s="226"/>
      <c r="BD12" s="226" t="s">
        <v>7</v>
      </c>
      <c r="BE12" s="226"/>
      <c r="BF12" s="226" t="s">
        <v>110</v>
      </c>
      <c r="BG12" s="226"/>
    </row>
    <row r="13" spans="1:62" s="178" customFormat="1" ht="12.65" customHeight="1" x14ac:dyDescent="0.3">
      <c r="A13" s="177"/>
      <c r="B13" s="281" t="s">
        <v>87</v>
      </c>
      <c r="C13" s="281"/>
      <c r="D13" s="227">
        <f>ChartData!D72</f>
        <v>2.7442861351655967</v>
      </c>
      <c r="E13" s="227"/>
      <c r="F13" s="227">
        <f>ChartData!F72</f>
        <v>7.2982861351655677</v>
      </c>
      <c r="G13" s="227"/>
      <c r="H13" s="227">
        <f>ChartData!H72</f>
        <v>7.2552861351654121</v>
      </c>
      <c r="I13" s="227"/>
      <c r="J13" s="227">
        <f>ChartData!J72</f>
        <v>12.010286135165495</v>
      </c>
      <c r="K13" s="227"/>
      <c r="L13" s="227">
        <f>ChartData!L72</f>
        <v>16.829286135165443</v>
      </c>
      <c r="M13" s="227"/>
      <c r="N13" s="227">
        <f>ChartData!N72</f>
        <v>16.774286135165937</v>
      </c>
      <c r="O13" s="227"/>
      <c r="P13" s="227">
        <f>ChartData!P72</f>
        <v>21.517286135165563</v>
      </c>
      <c r="Q13" s="227"/>
      <c r="R13" s="227">
        <f>ChartData!R72</f>
        <v>21.462286135164863</v>
      </c>
      <c r="S13" s="227"/>
      <c r="T13" s="227">
        <f>ChartData!T72</f>
        <v>21.485286135165317</v>
      </c>
      <c r="U13" s="227"/>
      <c r="V13" s="227">
        <f>ChartData!V72</f>
        <v>16.986286135165365</v>
      </c>
      <c r="W13" s="227"/>
      <c r="X13" s="227">
        <f>ChartData!X72</f>
        <v>12.28628613516565</v>
      </c>
      <c r="Y13" s="227"/>
      <c r="Z13" s="227">
        <f>ChartData!Z72</f>
        <v>7.5862861351655582</v>
      </c>
      <c r="AA13" s="227"/>
      <c r="AB13" s="227">
        <f>ChartData!AB72</f>
        <v>2.7442861351663637</v>
      </c>
      <c r="AC13" s="228"/>
      <c r="AE13" s="179"/>
      <c r="AF13" s="282" t="str">
        <f t="shared" ref="AF13:AF18" si="24">B13</f>
        <v>M3 ¢</v>
      </c>
      <c r="AG13" s="282"/>
      <c r="AH13" s="229">
        <f>V13</f>
        <v>16.986286135165365</v>
      </c>
      <c r="AI13" s="229"/>
      <c r="AJ13" s="229">
        <f>X13</f>
        <v>12.28628613516565</v>
      </c>
      <c r="AK13" s="229"/>
      <c r="AL13" s="229">
        <f>Z13</f>
        <v>7.5862861351655582</v>
      </c>
      <c r="AM13" s="229"/>
      <c r="AN13" s="229">
        <f>AB13</f>
        <v>2.7442861351663637</v>
      </c>
      <c r="AO13" s="229"/>
      <c r="AP13" s="229">
        <f>F13</f>
        <v>7.2982861351655677</v>
      </c>
      <c r="AQ13" s="229"/>
      <c r="AR13" s="229">
        <f>H13</f>
        <v>7.2552861351654121</v>
      </c>
      <c r="AS13" s="229"/>
      <c r="AT13" s="229">
        <f>J13</f>
        <v>12.010286135165495</v>
      </c>
      <c r="AU13" s="229"/>
      <c r="AV13" s="229">
        <f>L13</f>
        <v>16.829286135165443</v>
      </c>
      <c r="AW13" s="229"/>
      <c r="AX13" s="229">
        <f>N13</f>
        <v>16.774286135165937</v>
      </c>
      <c r="AY13" s="229"/>
      <c r="AZ13" s="229">
        <f>P13</f>
        <v>21.517286135165563</v>
      </c>
      <c r="BA13" s="229"/>
      <c r="BB13" s="229">
        <f>R13</f>
        <v>21.462286135164863</v>
      </c>
      <c r="BC13" s="229"/>
      <c r="BD13" s="229">
        <f>T13</f>
        <v>21.485286135165317</v>
      </c>
      <c r="BE13" s="229"/>
      <c r="BF13" s="229">
        <f>V13</f>
        <v>16.986286135165365</v>
      </c>
      <c r="BG13" s="179"/>
    </row>
    <row r="14" spans="1:62" s="178" customFormat="1" ht="12.65" customHeight="1" x14ac:dyDescent="0.3">
      <c r="A14" s="177"/>
      <c r="B14" s="283" t="s">
        <v>79</v>
      </c>
      <c r="C14" s="283"/>
      <c r="D14" s="230">
        <f>ChartData!D73</f>
        <v>-7.2982870005527714</v>
      </c>
      <c r="E14" s="230"/>
      <c r="F14" s="230">
        <f>ChartData!F73</f>
        <v>-11.953287000552114</v>
      </c>
      <c r="G14" s="230"/>
      <c r="H14" s="230">
        <f>ChartData!H73</f>
        <v>-12.010287000552198</v>
      </c>
      <c r="I14" s="230"/>
      <c r="J14" s="230">
        <f>ChartData!J73</f>
        <v>-16.808287000551882</v>
      </c>
      <c r="K14" s="230"/>
      <c r="L14" s="230">
        <f>ChartData!L73</f>
        <v>-16.829287000552611</v>
      </c>
      <c r="M14" s="230"/>
      <c r="N14" s="230">
        <f>ChartData!N73</f>
        <v>-21.472287000552463</v>
      </c>
      <c r="O14" s="230"/>
      <c r="P14" s="230">
        <f>ChartData!P73</f>
        <v>-21.517287000552081</v>
      </c>
      <c r="Q14" s="230"/>
      <c r="R14" s="230">
        <f>ChartData!R73</f>
        <v>-21.441287000552116</v>
      </c>
      <c r="S14" s="230"/>
      <c r="T14" s="230">
        <f>ChartData!T73</f>
        <v>-21.540287000551725</v>
      </c>
      <c r="U14" s="230"/>
      <c r="V14" s="230">
        <f>ChartData!V73</f>
        <v>-16.941287000552229</v>
      </c>
      <c r="W14" s="230"/>
      <c r="X14" s="230">
        <f>ChartData!X73</f>
        <v>-12.341287000552148</v>
      </c>
      <c r="Y14" s="230"/>
      <c r="Z14" s="230">
        <f>ChartData!Z73</f>
        <v>-7.5422870005525713</v>
      </c>
      <c r="AA14" s="230"/>
      <c r="AB14" s="230">
        <f>ChartData!AB73</f>
        <v>-7.2982870005525768</v>
      </c>
      <c r="AC14" s="230"/>
      <c r="AE14" s="179"/>
      <c r="AF14" s="284" t="str">
        <f t="shared" si="24"/>
        <v>m3 ¢</v>
      </c>
      <c r="AG14" s="284"/>
      <c r="AH14" s="231">
        <f>T14</f>
        <v>-21.540287000551725</v>
      </c>
      <c r="AI14" s="231"/>
      <c r="AJ14" s="231">
        <f>V14</f>
        <v>-16.941287000552229</v>
      </c>
      <c r="AK14" s="231"/>
      <c r="AL14" s="231">
        <f>X14</f>
        <v>-12.341287000552148</v>
      </c>
      <c r="AM14" s="231"/>
      <c r="AN14" s="231">
        <f>Z14</f>
        <v>-7.5422870005525713</v>
      </c>
      <c r="AO14" s="231"/>
      <c r="AP14" s="231">
        <f>AB14</f>
        <v>-7.2982870005525768</v>
      </c>
      <c r="AQ14" s="231"/>
      <c r="AR14" s="231">
        <f>F14</f>
        <v>-11.953287000552114</v>
      </c>
      <c r="AS14" s="231"/>
      <c r="AT14" s="231">
        <f>H14</f>
        <v>-12.010287000552198</v>
      </c>
      <c r="AU14" s="231"/>
      <c r="AV14" s="231">
        <f>J14</f>
        <v>-16.808287000551882</v>
      </c>
      <c r="AW14" s="231"/>
      <c r="AX14" s="231">
        <f>L14</f>
        <v>-16.829287000552611</v>
      </c>
      <c r="AY14" s="231"/>
      <c r="AZ14" s="231">
        <f>N14</f>
        <v>-21.472287000552463</v>
      </c>
      <c r="BA14" s="231"/>
      <c r="BB14" s="231">
        <f>P14</f>
        <v>-21.517287000552081</v>
      </c>
      <c r="BC14" s="231"/>
      <c r="BD14" s="231">
        <f>R14</f>
        <v>-21.441287000552116</v>
      </c>
      <c r="BE14" s="231"/>
      <c r="BF14" s="231">
        <f>T14</f>
        <v>-21.540287000551725</v>
      </c>
      <c r="BG14" s="179"/>
    </row>
    <row r="15" spans="1:62" s="178" customFormat="1" ht="12.65" customHeight="1" x14ac:dyDescent="0.3">
      <c r="A15" s="177"/>
      <c r="B15" s="285" t="s">
        <v>81</v>
      </c>
      <c r="C15" s="285"/>
      <c r="D15" s="232">
        <f>ChartData!D74</f>
        <v>-4.554000865386838</v>
      </c>
      <c r="E15" s="232"/>
      <c r="F15" s="232">
        <f>ChartData!F74</f>
        <v>-4.6550008653865147</v>
      </c>
      <c r="G15" s="232"/>
      <c r="H15" s="232">
        <f>ChartData!H74</f>
        <v>-4.7550008653868998</v>
      </c>
      <c r="I15" s="232"/>
      <c r="J15" s="232">
        <f>ChartData!J74</f>
        <v>-4.7980008653862924</v>
      </c>
      <c r="K15" s="232"/>
      <c r="L15" s="232">
        <f>ChartData!L74</f>
        <v>-8.6538721848522665E-7</v>
      </c>
      <c r="M15" s="232"/>
      <c r="N15" s="232">
        <f>ChartData!N74</f>
        <v>-4.6980008653866063</v>
      </c>
      <c r="O15" s="232"/>
      <c r="P15" s="232">
        <f>ChartData!P74</f>
        <v>-8.6538664186845572E-7</v>
      </c>
      <c r="Q15" s="232"/>
      <c r="R15" s="232">
        <f>ChartData!R74</f>
        <v>2.0999134612990474E-2</v>
      </c>
      <c r="S15" s="232"/>
      <c r="T15" s="232">
        <f>ChartData!T74</f>
        <v>-5.5000865386661532E-2</v>
      </c>
      <c r="U15" s="232"/>
      <c r="V15" s="232">
        <f>ChartData!V74</f>
        <v>4.4999134612723299E-2</v>
      </c>
      <c r="W15" s="232"/>
      <c r="X15" s="232">
        <f>ChartData!X74</f>
        <v>-5.5000865386469318E-2</v>
      </c>
      <c r="Y15" s="232"/>
      <c r="Z15" s="232">
        <f>ChartData!Z74</f>
        <v>4.3999134613262755E-2</v>
      </c>
      <c r="AA15" s="232"/>
      <c r="AB15" s="232">
        <f>ChartData!AB74</f>
        <v>-4.5540008653866453</v>
      </c>
      <c r="AC15" s="232"/>
      <c r="AE15" s="179"/>
      <c r="AF15" s="286" t="str">
        <f t="shared" si="24"/>
        <v>5th ¢</v>
      </c>
      <c r="AG15" s="286"/>
      <c r="AH15" s="233">
        <f>D15</f>
        <v>-4.554000865386838</v>
      </c>
      <c r="AI15" s="233"/>
      <c r="AJ15" s="233">
        <f>F15</f>
        <v>-4.6550008653865147</v>
      </c>
      <c r="AK15" s="233"/>
      <c r="AL15" s="233">
        <f>H15</f>
        <v>-4.7550008653868998</v>
      </c>
      <c r="AM15" s="233"/>
      <c r="AN15" s="233">
        <f>J15</f>
        <v>-4.7980008653862924</v>
      </c>
      <c r="AO15" s="233"/>
      <c r="AP15" s="233">
        <f>L15</f>
        <v>-8.6538721848522665E-7</v>
      </c>
      <c r="AQ15" s="233"/>
      <c r="AR15" s="233">
        <f>N15</f>
        <v>-4.6980008653866063</v>
      </c>
      <c r="AS15" s="233"/>
      <c r="AT15" s="233">
        <f>P15</f>
        <v>-8.6538664186845572E-7</v>
      </c>
      <c r="AU15" s="233"/>
      <c r="AV15" s="233">
        <f>R15</f>
        <v>2.0999134612990474E-2</v>
      </c>
      <c r="AW15" s="233"/>
      <c r="AX15" s="233">
        <f>T15</f>
        <v>-5.5000865386661532E-2</v>
      </c>
      <c r="AY15" s="233"/>
      <c r="AZ15" s="233">
        <f>V15</f>
        <v>4.4999134612723299E-2</v>
      </c>
      <c r="BA15" s="233"/>
      <c r="BB15" s="233">
        <f>X15</f>
        <v>-5.5000865386469318E-2</v>
      </c>
      <c r="BC15" s="233"/>
      <c r="BD15" s="233">
        <f>Z15</f>
        <v>4.3999134613262755E-2</v>
      </c>
      <c r="BE15" s="233"/>
      <c r="BF15" s="233">
        <f>AB15</f>
        <v>-4.5540008653866453</v>
      </c>
      <c r="BG15" s="179"/>
    </row>
    <row r="16" spans="1:62" s="178" customFormat="1" ht="12.65" customHeight="1" x14ac:dyDescent="0.3">
      <c r="A16" s="177"/>
      <c r="B16" s="281" t="s">
        <v>78</v>
      </c>
      <c r="C16" s="281"/>
      <c r="D16" s="234">
        <f>ChartData!D75</f>
        <v>1.0424848576599288</v>
      </c>
      <c r="E16" s="234"/>
      <c r="F16" s="234">
        <f>ChartData!F75</f>
        <v>4.1531879068598982</v>
      </c>
      <c r="G16" s="234"/>
      <c r="H16" s="234">
        <f>ChartData!H75</f>
        <v>3.0881853603915488</v>
      </c>
      <c r="I16" s="234"/>
      <c r="J16" s="234">
        <f>ChartData!J75</f>
        <v>7.6576861961409577</v>
      </c>
      <c r="K16" s="234"/>
      <c r="L16" s="234">
        <f>ChartData!L75</f>
        <v>8.0366088783121086</v>
      </c>
      <c r="M16" s="234"/>
      <c r="N16" s="234">
        <f>ChartData!N75</f>
        <v>12.015325329689176</v>
      </c>
      <c r="O16" s="234"/>
      <c r="P16" s="234">
        <f>ChartData!P75</f>
        <v>11.544037273387971</v>
      </c>
      <c r="Q16" s="234"/>
      <c r="R16" s="234">
        <f>ChartData!R75</f>
        <v>8.6357598396249386</v>
      </c>
      <c r="S16" s="234"/>
      <c r="T16" s="234">
        <f>ChartData!T75</f>
        <v>12.967765101653413</v>
      </c>
      <c r="U16" s="234"/>
      <c r="V16" s="234">
        <f>ChartData!V75</f>
        <v>7.678997813052888</v>
      </c>
      <c r="W16" s="234"/>
      <c r="X16" s="234">
        <f>ChartData!X75</f>
        <v>8.3202990003846935</v>
      </c>
      <c r="Y16" s="234"/>
      <c r="Z16" s="234">
        <f>ChartData!Z75</f>
        <v>3.8477328597339238</v>
      </c>
      <c r="AA16" s="234"/>
      <c r="AB16" s="234">
        <f>ChartData!AB75</f>
        <v>2.0849697153203124</v>
      </c>
      <c r="AC16" s="234"/>
      <c r="AE16" s="179"/>
      <c r="AF16" s="282" t="str">
        <f t="shared" si="24"/>
        <v>M3 bps</v>
      </c>
      <c r="AG16" s="282"/>
      <c r="AH16" s="235">
        <f>V16</f>
        <v>7.678997813052888</v>
      </c>
      <c r="AI16" s="235"/>
      <c r="AJ16" s="235">
        <f>X16</f>
        <v>8.3202990003846935</v>
      </c>
      <c r="AK16" s="235"/>
      <c r="AL16" s="235">
        <f>Z16</f>
        <v>3.8477328597339238</v>
      </c>
      <c r="AM16" s="235"/>
      <c r="AN16" s="235">
        <f>AB16</f>
        <v>2.0849697153203124</v>
      </c>
      <c r="AO16" s="235"/>
      <c r="AP16" s="235">
        <f>F16</f>
        <v>4.1531879068598982</v>
      </c>
      <c r="AQ16" s="235"/>
      <c r="AR16" s="235">
        <f>H16*2</f>
        <v>6.1763707207830976</v>
      </c>
      <c r="AS16" s="235"/>
      <c r="AT16" s="235">
        <f>J16</f>
        <v>7.6576861961409577</v>
      </c>
      <c r="AU16" s="235"/>
      <c r="AV16" s="235">
        <f>L16</f>
        <v>8.0366088783121086</v>
      </c>
      <c r="AW16" s="235"/>
      <c r="AX16" s="235">
        <f>N16</f>
        <v>12.015325329689176</v>
      </c>
      <c r="AY16" s="235"/>
      <c r="AZ16" s="235">
        <f>P16</f>
        <v>11.544037273387971</v>
      </c>
      <c r="BA16" s="235"/>
      <c r="BB16" s="235">
        <f>R16*2</f>
        <v>17.271519679249877</v>
      </c>
      <c r="BC16" s="235"/>
      <c r="BD16" s="235">
        <f>T16</f>
        <v>12.967765101653413</v>
      </c>
      <c r="BE16" s="235"/>
      <c r="BF16" s="235">
        <f>V16*2</f>
        <v>15.357995626105776</v>
      </c>
      <c r="BG16" s="179"/>
    </row>
    <row r="17" spans="1:62" s="178" customFormat="1" ht="12.65" customHeight="1" x14ac:dyDescent="0.3">
      <c r="A17" s="177"/>
      <c r="B17" s="283" t="s">
        <v>80</v>
      </c>
      <c r="C17" s="283"/>
      <c r="D17" s="236">
        <f>ChartData!D76</f>
        <v>-4.1531884003588857</v>
      </c>
      <c r="E17" s="236"/>
      <c r="F17" s="236">
        <f>ChartData!F76</f>
        <v>-10.189572622040941</v>
      </c>
      <c r="G17" s="236"/>
      <c r="H17" s="236">
        <f>ChartData!H76</f>
        <v>-7.6576867498224601</v>
      </c>
      <c r="I17" s="236"/>
      <c r="J17" s="236">
        <f>ChartData!J76</f>
        <v>-16.053064507613271</v>
      </c>
      <c r="K17" s="236"/>
      <c r="L17" s="236">
        <f>ChartData!L76</f>
        <v>-12.054913934341812</v>
      </c>
      <c r="M17" s="236"/>
      <c r="N17" s="236">
        <f>ChartData!N76</f>
        <v>-23.03949037110624</v>
      </c>
      <c r="O17" s="236"/>
      <c r="P17" s="236">
        <f>ChartData!P76</f>
        <v>-17.316056602183835</v>
      </c>
      <c r="Q17" s="236"/>
      <c r="R17" s="236">
        <f>ChartData!R76</f>
        <v>-12.941043978805965</v>
      </c>
      <c r="S17" s="236"/>
      <c r="T17" s="236">
        <f>ChartData!T76</f>
        <v>-19.501133408296027</v>
      </c>
      <c r="U17" s="236"/>
      <c r="V17" s="236">
        <f>ChartData!V76</f>
        <v>-11.488131609785569</v>
      </c>
      <c r="W17" s="236"/>
      <c r="X17" s="236">
        <f>ChartData!X76</f>
        <v>-12.536119654243976</v>
      </c>
      <c r="Y17" s="236"/>
      <c r="Z17" s="236">
        <f>ChartData!Z76</f>
        <v>-5.7381978860416893</v>
      </c>
      <c r="AA17" s="236"/>
      <c r="AB17" s="236">
        <f>ChartData!AB76</f>
        <v>-8.3063768007177714</v>
      </c>
      <c r="AC17" s="236"/>
      <c r="AE17" s="179"/>
      <c r="AF17" s="284" t="str">
        <f t="shared" si="24"/>
        <v>m3 bps</v>
      </c>
      <c r="AG17" s="284"/>
      <c r="AH17" s="237">
        <f>T17/2</f>
        <v>-9.7505667041480137</v>
      </c>
      <c r="AI17" s="231"/>
      <c r="AJ17" s="237">
        <f>V17</f>
        <v>-11.488131609785569</v>
      </c>
      <c r="AK17" s="231"/>
      <c r="AL17" s="237">
        <f>X17/2</f>
        <v>-6.2680598271219878</v>
      </c>
      <c r="AM17" s="231"/>
      <c r="AN17" s="237">
        <f>Z17</f>
        <v>-5.7381978860416893</v>
      </c>
      <c r="AO17" s="231"/>
      <c r="AP17" s="237">
        <f>AB17/2</f>
        <v>-4.1531884003588857</v>
      </c>
      <c r="AQ17" s="231"/>
      <c r="AR17" s="237">
        <f>F17</f>
        <v>-10.189572622040941</v>
      </c>
      <c r="AS17" s="231"/>
      <c r="AT17" s="237">
        <f>H17</f>
        <v>-7.6576867498224601</v>
      </c>
      <c r="AU17" s="231"/>
      <c r="AV17" s="237">
        <f>J17/2</f>
        <v>-8.0265322538066357</v>
      </c>
      <c r="AW17" s="231"/>
      <c r="AX17" s="237">
        <f>L17</f>
        <v>-12.054913934341812</v>
      </c>
      <c r="AY17" s="231"/>
      <c r="AZ17" s="237">
        <f>N17/2</f>
        <v>-11.51974518555312</v>
      </c>
      <c r="BA17" s="231"/>
      <c r="BB17" s="237">
        <f>P17</f>
        <v>-17.316056602183835</v>
      </c>
      <c r="BC17" s="231"/>
      <c r="BD17" s="237">
        <f>R17</f>
        <v>-12.941043978805965</v>
      </c>
      <c r="BE17" s="231"/>
      <c r="BF17" s="237">
        <f>T17</f>
        <v>-19.501133408296027</v>
      </c>
      <c r="BG17" s="179"/>
    </row>
    <row r="18" spans="1:62" s="178" customFormat="1" ht="12.65" customHeight="1" x14ac:dyDescent="0.3">
      <c r="A18" s="238" t="s">
        <v>127</v>
      </c>
      <c r="B18" s="285" t="s">
        <v>82</v>
      </c>
      <c r="C18" s="285"/>
      <c r="D18" s="239">
        <f>ChartData!D77</f>
        <v>-1.0357844455475629</v>
      </c>
      <c r="E18" s="239"/>
      <c r="F18" s="239">
        <f>ChartData!F77</f>
        <v>-1.5839163047004376</v>
      </c>
      <c r="G18" s="239"/>
      <c r="H18" s="239">
        <f>ChartData!H77</f>
        <v>-1.2101634836940889</v>
      </c>
      <c r="I18" s="239"/>
      <c r="J18" s="239">
        <f>ChartData!J77</f>
        <v>-1.8266140853606885</v>
      </c>
      <c r="K18" s="239"/>
      <c r="L18" s="239">
        <f>ChartData!L77</f>
        <v>-2.4674949372638366E-7</v>
      </c>
      <c r="M18" s="239"/>
      <c r="N18" s="239">
        <f>ChartData!N77</f>
        <v>-2.006600950628922</v>
      </c>
      <c r="O18" s="239"/>
      <c r="P18" s="239">
        <f>ChartData!P77</f>
        <v>-2.7684075121214846E-7</v>
      </c>
      <c r="Q18" s="239"/>
      <c r="R18" s="239">
        <f>ChartData!R77</f>
        <v>5.0383122526227453E-3</v>
      </c>
      <c r="S18" s="239"/>
      <c r="T18" s="239">
        <f>ChartData!T77</f>
        <v>-1.9794302326317847E-2</v>
      </c>
      <c r="U18" s="239"/>
      <c r="V18" s="239">
        <f>ChartData!V77</f>
        <v>1.2146043917425686E-2</v>
      </c>
      <c r="W18" s="239"/>
      <c r="X18" s="239">
        <f>ChartData!X77</f>
        <v>-2.2268461466751432E-2</v>
      </c>
      <c r="Y18" s="239"/>
      <c r="Z18" s="239">
        <f>ChartData!Z77</f>
        <v>1.3360561423723993E-2</v>
      </c>
      <c r="AA18" s="239"/>
      <c r="AB18" s="239">
        <f>ChartData!AB77</f>
        <v>-2.0715688910950121</v>
      </c>
      <c r="AC18" s="239"/>
      <c r="AE18" s="240" t="s">
        <v>127</v>
      </c>
      <c r="AF18" s="286" t="str">
        <f t="shared" si="24"/>
        <v>5th bps</v>
      </c>
      <c r="AG18" s="286"/>
      <c r="AH18" s="241">
        <f>D18</f>
        <v>-1.0357844455475629</v>
      </c>
      <c r="AI18" s="233"/>
      <c r="AJ18" s="241">
        <f>F18</f>
        <v>-1.5839163047004376</v>
      </c>
      <c r="AK18" s="233"/>
      <c r="AL18" s="241">
        <f>H18</f>
        <v>-1.2101634836940889</v>
      </c>
      <c r="AM18" s="233"/>
      <c r="AN18" s="241">
        <f>J18</f>
        <v>-1.8266140853606885</v>
      </c>
      <c r="AO18" s="233"/>
      <c r="AP18" s="241">
        <f>L18</f>
        <v>-2.4674949372638366E-7</v>
      </c>
      <c r="AQ18" s="233"/>
      <c r="AR18" s="241">
        <f>N18</f>
        <v>-2.006600950628922</v>
      </c>
      <c r="AS18" s="233"/>
      <c r="AT18" s="241">
        <f>P18</f>
        <v>-2.7684075121214846E-7</v>
      </c>
      <c r="AU18" s="233"/>
      <c r="AV18" s="241">
        <f>R18</f>
        <v>5.0383122526227453E-3</v>
      </c>
      <c r="AW18" s="233"/>
      <c r="AX18" s="241">
        <f>T18</f>
        <v>-1.9794302326317847E-2</v>
      </c>
      <c r="AY18" s="233"/>
      <c r="AZ18" s="241">
        <f>V18</f>
        <v>1.2146043917425686E-2</v>
      </c>
      <c r="BA18" s="233"/>
      <c r="BB18" s="241">
        <f>X18</f>
        <v>-2.2268461466751432E-2</v>
      </c>
      <c r="BC18" s="233"/>
      <c r="BD18" s="241">
        <f>Z18</f>
        <v>1.3360561423723993E-2</v>
      </c>
      <c r="BE18" s="233"/>
      <c r="BF18" s="241">
        <f>AB18</f>
        <v>-2.0715688910950121</v>
      </c>
      <c r="BG18" s="179"/>
    </row>
    <row r="19" spans="1:62" s="178" customFormat="1" ht="30" customHeight="1" x14ac:dyDescent="0.3">
      <c r="A19" s="278"/>
      <c r="B19" s="278"/>
      <c r="C19" s="242"/>
      <c r="D19" s="242"/>
      <c r="E19" s="177"/>
      <c r="F19" s="177"/>
      <c r="G19" s="177"/>
      <c r="H19" s="177"/>
      <c r="I19" s="177"/>
      <c r="J19" s="177"/>
      <c r="K19" s="177"/>
      <c r="L19" s="193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E19" s="279"/>
      <c r="AF19" s="280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</row>
    <row r="20" spans="1:62" s="178" customFormat="1" ht="60" customHeight="1" x14ac:dyDescent="0.3"/>
    <row r="21" spans="1:62" s="243" customFormat="1" ht="14.5" hidden="1" x14ac:dyDescent="0.3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</row>
    <row r="22" spans="1:62" s="178" customFormat="1" ht="21.65" hidden="1" customHeight="1" x14ac:dyDescent="0.3"/>
    <row r="23" spans="1:62" s="178" customFormat="1" ht="3" hidden="1" customHeight="1" x14ac:dyDescent="0.3"/>
    <row r="24" spans="1:62" s="178" customFormat="1" ht="13.9" hidden="1" customHeight="1" x14ac:dyDescent="0.3"/>
    <row r="25" spans="1:62" s="178" customFormat="1" ht="13.9" hidden="1" customHeight="1" x14ac:dyDescent="0.3"/>
    <row r="26" spans="1:62" s="178" customFormat="1" ht="13.9" hidden="1" customHeight="1" x14ac:dyDescent="0.3"/>
    <row r="27" spans="1:62" s="178" customFormat="1" ht="13.9" hidden="1" customHeight="1" x14ac:dyDescent="0.3"/>
    <row r="28" spans="1:62" s="178" customFormat="1" ht="13.9" hidden="1" customHeight="1" x14ac:dyDescent="0.3"/>
    <row r="29" spans="1:62" s="178" customFormat="1" ht="13.9" hidden="1" customHeight="1" x14ac:dyDescent="0.3"/>
    <row r="30" spans="1:62" s="178" customFormat="1" ht="13.9" hidden="1" customHeight="1" x14ac:dyDescent="0.3"/>
    <row r="31" spans="1:62" s="178" customFormat="1" ht="13.9" hidden="1" customHeight="1" x14ac:dyDescent="0.3"/>
    <row r="32" spans="1:62" s="178" customFormat="1" ht="13.9" hidden="1" customHeight="1" x14ac:dyDescent="0.3"/>
    <row r="33" spans="12:12" s="178" customFormat="1" ht="13.9" hidden="1" customHeight="1" x14ac:dyDescent="0.3"/>
    <row r="34" spans="12:12" s="178" customFormat="1" ht="13.9" hidden="1" customHeight="1" x14ac:dyDescent="0.3"/>
    <row r="35" spans="12:12" s="178" customFormat="1" ht="13.9" hidden="1" customHeight="1" x14ac:dyDescent="0.3"/>
    <row r="36" spans="12:12" s="178" customFormat="1" ht="13.9" hidden="1" customHeight="1" x14ac:dyDescent="0.3"/>
    <row r="37" spans="12:12" s="178" customFormat="1" ht="15" hidden="1" customHeight="1" x14ac:dyDescent="0.3"/>
    <row r="38" spans="12:12" s="178" customFormat="1" ht="15" hidden="1" customHeight="1" x14ac:dyDescent="0.3"/>
    <row r="39" spans="12:12" s="178" customFormat="1" ht="15" hidden="1" customHeight="1" x14ac:dyDescent="0.3"/>
    <row r="40" spans="12:12" s="178" customFormat="1" ht="30" hidden="1" customHeight="1" x14ac:dyDescent="0.3"/>
    <row r="41" spans="12:12" s="178" customFormat="1" ht="30" hidden="1" customHeight="1" x14ac:dyDescent="0.3"/>
    <row r="42" spans="12:12" s="178" customFormat="1" ht="30" hidden="1" customHeight="1" x14ac:dyDescent="0.3"/>
    <row r="43" spans="12:12" s="178" customFormat="1" ht="30" hidden="1" customHeight="1" x14ac:dyDescent="0.3"/>
    <row r="44" spans="12:12" s="178" customFormat="1" ht="30" hidden="1" customHeight="1" x14ac:dyDescent="0.3"/>
    <row r="45" spans="12:12" s="178" customFormat="1" ht="30" hidden="1" customHeight="1" x14ac:dyDescent="0.3"/>
    <row r="46" spans="12:12" s="178" customFormat="1" ht="30" hidden="1" customHeight="1" x14ac:dyDescent="0.3"/>
    <row r="47" spans="12:12" s="178" customFormat="1" ht="30" hidden="1" customHeight="1" x14ac:dyDescent="0.3"/>
    <row r="48" spans="12:12" s="178" customFormat="1" ht="30" hidden="1" customHeight="1" x14ac:dyDescent="0.3">
      <c r="L48" s="174"/>
    </row>
    <row r="49" spans="12:12" s="178" customFormat="1" ht="30" hidden="1" customHeight="1" x14ac:dyDescent="0.3">
      <c r="L49" s="174"/>
    </row>
    <row r="50" spans="12:12" s="178" customFormat="1" ht="30" hidden="1" customHeight="1" x14ac:dyDescent="0.3">
      <c r="L50" s="174"/>
    </row>
    <row r="51" spans="12:12" s="178" customFormat="1" ht="30" hidden="1" customHeight="1" x14ac:dyDescent="0.3">
      <c r="L51" s="174"/>
    </row>
    <row r="52" spans="12:12" s="178" customFormat="1" ht="30" hidden="1" customHeight="1" x14ac:dyDescent="0.3">
      <c r="L52" s="174"/>
    </row>
    <row r="53" spans="12:12" s="178" customFormat="1" ht="30" hidden="1" customHeight="1" x14ac:dyDescent="0.3">
      <c r="L53" s="174"/>
    </row>
    <row r="54" spans="12:12" s="178" customFormat="1" ht="30" hidden="1" customHeight="1" x14ac:dyDescent="0.3">
      <c r="L54" s="174"/>
    </row>
    <row r="55" spans="12:12" s="178" customFormat="1" ht="30" hidden="1" customHeight="1" x14ac:dyDescent="0.3">
      <c r="L55" s="174"/>
    </row>
    <row r="56" spans="12:12" s="178" customFormat="1" ht="30" hidden="1" customHeight="1" x14ac:dyDescent="0.3">
      <c r="L56" s="174"/>
    </row>
    <row r="57" spans="12:12" s="178" customFormat="1" ht="30" hidden="1" customHeight="1" x14ac:dyDescent="0.3">
      <c r="L57" s="174"/>
    </row>
    <row r="58" spans="12:12" s="178" customFormat="1" ht="30" hidden="1" customHeight="1" x14ac:dyDescent="0.3">
      <c r="L58" s="174"/>
    </row>
    <row r="59" spans="12:12" s="178" customFormat="1" ht="30" hidden="1" customHeight="1" x14ac:dyDescent="0.3">
      <c r="L59" s="174"/>
    </row>
    <row r="60" spans="12:12" s="178" customFormat="1" ht="30" hidden="1" customHeight="1" x14ac:dyDescent="0.3">
      <c r="L60" s="174"/>
    </row>
    <row r="61" spans="12:12" s="178" customFormat="1" ht="30" hidden="1" customHeight="1" x14ac:dyDescent="0.3">
      <c r="L61" s="174"/>
    </row>
    <row r="62" spans="12:12" s="178" customFormat="1" ht="30" hidden="1" customHeight="1" x14ac:dyDescent="0.3">
      <c r="L62" s="174"/>
    </row>
    <row r="63" spans="12:12" s="178" customFormat="1" ht="30" hidden="1" customHeight="1" x14ac:dyDescent="0.3">
      <c r="L63" s="174"/>
    </row>
    <row r="64" spans="12:12" s="178" customFormat="1" ht="30" hidden="1" customHeight="1" x14ac:dyDescent="0.3">
      <c r="L64" s="174"/>
    </row>
    <row r="65" spans="12:12" s="178" customFormat="1" ht="30" hidden="1" customHeight="1" x14ac:dyDescent="0.3">
      <c r="L65" s="174"/>
    </row>
    <row r="66" spans="12:12" s="178" customFormat="1" ht="30" hidden="1" customHeight="1" x14ac:dyDescent="0.3">
      <c r="L66" s="174"/>
    </row>
    <row r="67" spans="12:12" s="178" customFormat="1" ht="30" hidden="1" customHeight="1" x14ac:dyDescent="0.3">
      <c r="L67" s="174"/>
    </row>
    <row r="68" spans="12:12" s="178" customFormat="1" ht="30" hidden="1" customHeight="1" x14ac:dyDescent="0.3">
      <c r="L68" s="174"/>
    </row>
    <row r="69" spans="12:12" s="178" customFormat="1" ht="30" hidden="1" customHeight="1" x14ac:dyDescent="0.3">
      <c r="L69" s="174"/>
    </row>
    <row r="70" spans="12:12" s="178" customFormat="1" ht="30" hidden="1" customHeight="1" x14ac:dyDescent="0.3">
      <c r="L70" s="174"/>
    </row>
    <row r="71" spans="12:12" s="178" customFormat="1" ht="30" hidden="1" customHeight="1" x14ac:dyDescent="0.3">
      <c r="L71" s="174"/>
    </row>
    <row r="72" spans="12:12" s="178" customFormat="1" ht="30" hidden="1" customHeight="1" x14ac:dyDescent="0.3">
      <c r="L72" s="174"/>
    </row>
    <row r="73" spans="12:12" s="178" customFormat="1" ht="30" hidden="1" customHeight="1" x14ac:dyDescent="0.3">
      <c r="L73" s="174"/>
    </row>
    <row r="74" spans="12:12" s="178" customFormat="1" ht="30" hidden="1" customHeight="1" x14ac:dyDescent="0.3">
      <c r="L74" s="174"/>
    </row>
    <row r="75" spans="12:12" s="178" customFormat="1" ht="30" hidden="1" customHeight="1" x14ac:dyDescent="0.3">
      <c r="L75" s="174"/>
    </row>
    <row r="76" spans="12:12" s="178" customFormat="1" ht="30" hidden="1" customHeight="1" x14ac:dyDescent="0.3">
      <c r="L76" s="174"/>
    </row>
    <row r="77" spans="12:12" s="178" customFormat="1" ht="30" hidden="1" customHeight="1" x14ac:dyDescent="0.3">
      <c r="L77" s="174"/>
    </row>
    <row r="78" spans="12:12" s="178" customFormat="1" ht="30" hidden="1" customHeight="1" x14ac:dyDescent="0.3">
      <c r="L78" s="174"/>
    </row>
    <row r="79" spans="12:12" s="178" customFormat="1" ht="30" hidden="1" customHeight="1" x14ac:dyDescent="0.3">
      <c r="L79" s="174"/>
    </row>
    <row r="80" spans="12:12" s="178" customFormat="1" ht="30" hidden="1" customHeight="1" x14ac:dyDescent="0.3">
      <c r="L80" s="174"/>
    </row>
    <row r="81" spans="12:12" s="178" customFormat="1" ht="30" hidden="1" customHeight="1" x14ac:dyDescent="0.3">
      <c r="L81" s="174"/>
    </row>
    <row r="82" spans="12:12" s="178" customFormat="1" ht="30" hidden="1" customHeight="1" x14ac:dyDescent="0.3">
      <c r="L82" s="174"/>
    </row>
    <row r="83" spans="12:12" s="178" customFormat="1" ht="30" hidden="1" customHeight="1" x14ac:dyDescent="0.3">
      <c r="L83" s="174"/>
    </row>
    <row r="84" spans="12:12" s="178" customFormat="1" ht="30" hidden="1" customHeight="1" x14ac:dyDescent="0.3">
      <c r="L84" s="174"/>
    </row>
    <row r="85" spans="12:12" s="178" customFormat="1" ht="30" hidden="1" customHeight="1" x14ac:dyDescent="0.3">
      <c r="L85" s="174"/>
    </row>
    <row r="86" spans="12:12" s="178" customFormat="1" ht="30" hidden="1" customHeight="1" x14ac:dyDescent="0.3">
      <c r="L86" s="174"/>
    </row>
    <row r="87" spans="12:12" s="178" customFormat="1" ht="30" hidden="1" customHeight="1" x14ac:dyDescent="0.3">
      <c r="L87" s="174"/>
    </row>
    <row r="88" spans="12:12" s="178" customFormat="1" ht="30" hidden="1" customHeight="1" x14ac:dyDescent="0.3">
      <c r="L88" s="174"/>
    </row>
    <row r="89" spans="12:12" s="178" customFormat="1" ht="30" hidden="1" customHeight="1" x14ac:dyDescent="0.3">
      <c r="L89" s="174"/>
    </row>
    <row r="90" spans="12:12" s="178" customFormat="1" ht="30" hidden="1" customHeight="1" x14ac:dyDescent="0.3">
      <c r="L90" s="174"/>
    </row>
    <row r="91" spans="12:12" s="178" customFormat="1" ht="30" hidden="1" customHeight="1" x14ac:dyDescent="0.3">
      <c r="L91" s="174"/>
    </row>
    <row r="92" spans="12:12" s="178" customFormat="1" ht="30" hidden="1" customHeight="1" x14ac:dyDescent="0.3">
      <c r="L92" s="174"/>
    </row>
    <row r="93" spans="12:12" s="178" customFormat="1" ht="30" hidden="1" customHeight="1" x14ac:dyDescent="0.3">
      <c r="L93" s="174"/>
    </row>
    <row r="94" spans="12:12" s="178" customFormat="1" ht="30" hidden="1" customHeight="1" x14ac:dyDescent="0.3">
      <c r="L94" s="174"/>
    </row>
    <row r="95" spans="12:12" s="178" customFormat="1" ht="30" hidden="1" customHeight="1" x14ac:dyDescent="0.3">
      <c r="L95" s="174"/>
    </row>
    <row r="96" spans="12:12" s="178" customFormat="1" ht="30" hidden="1" customHeight="1" x14ac:dyDescent="0.3">
      <c r="L96" s="174"/>
    </row>
    <row r="97" spans="12:12" s="178" customFormat="1" ht="30" hidden="1" customHeight="1" x14ac:dyDescent="0.3">
      <c r="L97" s="174"/>
    </row>
    <row r="98" spans="12:12" s="178" customFormat="1" ht="30" hidden="1" customHeight="1" x14ac:dyDescent="0.3">
      <c r="L98" s="174"/>
    </row>
    <row r="99" spans="12:12" s="178" customFormat="1" ht="30" hidden="1" customHeight="1" x14ac:dyDescent="0.3">
      <c r="L99" s="174"/>
    </row>
    <row r="100" spans="12:12" s="178" customFormat="1" ht="30" hidden="1" customHeight="1" x14ac:dyDescent="0.3">
      <c r="L100" s="174"/>
    </row>
    <row r="101" spans="12:12" s="178" customFormat="1" ht="30" hidden="1" customHeight="1" x14ac:dyDescent="0.3">
      <c r="L101" s="174"/>
    </row>
    <row r="102" spans="12:12" s="178" customFormat="1" ht="30" hidden="1" customHeight="1" x14ac:dyDescent="0.3">
      <c r="L102" s="174"/>
    </row>
    <row r="103" spans="12:12" s="178" customFormat="1" ht="30" hidden="1" customHeight="1" x14ac:dyDescent="0.3">
      <c r="L103" s="174"/>
    </row>
    <row r="104" spans="12:12" s="178" customFormat="1" ht="30" hidden="1" customHeight="1" x14ac:dyDescent="0.3">
      <c r="L104" s="174"/>
    </row>
    <row r="105" spans="12:12" s="178" customFormat="1" ht="30" hidden="1" customHeight="1" x14ac:dyDescent="0.3">
      <c r="L105" s="174"/>
    </row>
    <row r="106" spans="12:12" s="178" customFormat="1" ht="30" hidden="1" customHeight="1" x14ac:dyDescent="0.3">
      <c r="L106" s="174"/>
    </row>
    <row r="107" spans="12:12" s="178" customFormat="1" ht="30" hidden="1" customHeight="1" x14ac:dyDescent="0.3">
      <c r="L107" s="174"/>
    </row>
  </sheetData>
  <sheetProtection algorithmName="SHA-512" hashValue="H9w/Zc92itjAb9FYDrWc3VcsExgGc+HJkUetjI4JT7o3rSLPYKTrPvKHLwA8g3mMrON+zjFJNIHsPB+eqgXarg==" saltValue="tzVbqVaq1aJ8ff7aF3kVzw==" spinCount="100000" sheet="1" objects="1" scenarios="1" selectLockedCells="1" selectUnlockedCells="1"/>
  <mergeCells count="72">
    <mergeCell ref="AJ11:AK11"/>
    <mergeCell ref="AL11:AM11"/>
    <mergeCell ref="AN11:AO11"/>
    <mergeCell ref="AP11:AQ11"/>
    <mergeCell ref="AR11:AS11"/>
    <mergeCell ref="B14:C14"/>
    <mergeCell ref="AF14:AG14"/>
    <mergeCell ref="AB11:AC11"/>
    <mergeCell ref="AH11:AI11"/>
    <mergeCell ref="B15:C15"/>
    <mergeCell ref="AF15:AG15"/>
    <mergeCell ref="A12:C12"/>
    <mergeCell ref="AE12:AG12"/>
    <mergeCell ref="BF11:BG11"/>
    <mergeCell ref="AT11:AU11"/>
    <mergeCell ref="AV11:AW11"/>
    <mergeCell ref="AX11:AY11"/>
    <mergeCell ref="AZ11:BA11"/>
    <mergeCell ref="BB11:BC11"/>
    <mergeCell ref="BD11:BE11"/>
    <mergeCell ref="D2:AB2"/>
    <mergeCell ref="AH2:BF2"/>
    <mergeCell ref="T3:AB3"/>
    <mergeCell ref="AX3:BF3"/>
    <mergeCell ref="D10:E10"/>
    <mergeCell ref="F10:G10"/>
    <mergeCell ref="H10:I10"/>
    <mergeCell ref="J10:K10"/>
    <mergeCell ref="L10:M10"/>
    <mergeCell ref="N10:O10"/>
    <mergeCell ref="AN10:AO10"/>
    <mergeCell ref="AP10:AQ10"/>
    <mergeCell ref="P10:Q10"/>
    <mergeCell ref="R10:S10"/>
    <mergeCell ref="T10:U10"/>
    <mergeCell ref="V10:W10"/>
    <mergeCell ref="BD10:BE10"/>
    <mergeCell ref="BF10:BG10"/>
    <mergeCell ref="B13:C13"/>
    <mergeCell ref="AF13:AG13"/>
    <mergeCell ref="AX10:AY10"/>
    <mergeCell ref="AZ10:BA10"/>
    <mergeCell ref="BB10:BC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AR10:AS10"/>
    <mergeCell ref="AT10:AU10"/>
    <mergeCell ref="AV10:AW10"/>
    <mergeCell ref="AB10:AC10"/>
    <mergeCell ref="AH10:AI10"/>
    <mergeCell ref="AJ10:AK10"/>
    <mergeCell ref="AL10:AM10"/>
    <mergeCell ref="X10:Y10"/>
    <mergeCell ref="Z10:AA10"/>
    <mergeCell ref="V11:W11"/>
    <mergeCell ref="X11:Y11"/>
    <mergeCell ref="Z11:AA11"/>
    <mergeCell ref="A19:B19"/>
    <mergeCell ref="AE19:AF19"/>
    <mergeCell ref="B16:C16"/>
    <mergeCell ref="AF16:AG16"/>
    <mergeCell ref="B17:C17"/>
    <mergeCell ref="AF17:AG17"/>
    <mergeCell ref="B18:C18"/>
    <mergeCell ref="AF18:AG18"/>
  </mergeCells>
  <pageMargins left="0.57999999999999996" right="0.25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J107"/>
  <sheetViews>
    <sheetView showGridLines="0" showRowColHeaders="0" zoomScale="75" zoomScaleNormal="75" workbookViewId="0">
      <selection activeCell="AD4" sqref="AD4"/>
    </sheetView>
  </sheetViews>
  <sheetFormatPr defaultColWidth="0" defaultRowHeight="13" zeroHeight="1" x14ac:dyDescent="0.3"/>
  <cols>
    <col min="1" max="1" width="11.3828125" style="49" customWidth="1"/>
    <col min="2" max="2" width="2.3828125" style="49" customWidth="1"/>
    <col min="3" max="3" width="3.15234375" style="49" customWidth="1"/>
    <col min="4" max="4" width="4.15234375" style="49" customWidth="1"/>
    <col min="5" max="5" width="1" style="49" customWidth="1"/>
    <col min="6" max="6" width="4.15234375" style="49" customWidth="1"/>
    <col min="7" max="7" width="1" style="49" customWidth="1"/>
    <col min="8" max="8" width="4.15234375" style="49" customWidth="1"/>
    <col min="9" max="9" width="1" style="49" customWidth="1"/>
    <col min="10" max="10" width="4.15234375" style="49" customWidth="1"/>
    <col min="11" max="11" width="1" style="49" customWidth="1"/>
    <col min="12" max="12" width="4.15234375" style="50" customWidth="1"/>
    <col min="13" max="13" width="1" style="49" customWidth="1"/>
    <col min="14" max="14" width="4.15234375" style="49" customWidth="1"/>
    <col min="15" max="15" width="1" style="49" customWidth="1"/>
    <col min="16" max="16" width="4.15234375" style="49" customWidth="1"/>
    <col min="17" max="17" width="1" style="49" customWidth="1"/>
    <col min="18" max="18" width="4.15234375" style="49" customWidth="1"/>
    <col min="19" max="19" width="1" style="49" customWidth="1"/>
    <col min="20" max="20" width="4.15234375" style="49" customWidth="1"/>
    <col min="21" max="21" width="1" style="49" customWidth="1"/>
    <col min="22" max="22" width="4.15234375" style="49" customWidth="1"/>
    <col min="23" max="23" width="1" style="49" customWidth="1"/>
    <col min="24" max="24" width="4.15234375" style="49" customWidth="1"/>
    <col min="25" max="25" width="1" style="49" customWidth="1"/>
    <col min="26" max="26" width="4.15234375" style="49" customWidth="1"/>
    <col min="27" max="27" width="1" style="49" customWidth="1"/>
    <col min="28" max="28" width="4.15234375" style="49" customWidth="1"/>
    <col min="29" max="29" width="1" style="49" customWidth="1"/>
    <col min="30" max="30" width="9" style="50" customWidth="1"/>
    <col min="31" max="31" width="11.3828125" style="49" customWidth="1"/>
    <col min="32" max="32" width="2.3828125" style="49" customWidth="1"/>
    <col min="33" max="33" width="3.15234375" style="49" customWidth="1"/>
    <col min="34" max="34" width="4.15234375" style="49" customWidth="1"/>
    <col min="35" max="35" width="1" style="49" customWidth="1"/>
    <col min="36" max="36" width="4.15234375" style="49" customWidth="1"/>
    <col min="37" max="37" width="1" style="49" customWidth="1"/>
    <col min="38" max="38" width="4.15234375" style="49" customWidth="1"/>
    <col min="39" max="39" width="1" style="49" customWidth="1"/>
    <col min="40" max="40" width="4.15234375" style="49" customWidth="1"/>
    <col min="41" max="41" width="1" style="49" customWidth="1"/>
    <col min="42" max="42" width="4.15234375" style="49" customWidth="1"/>
    <col min="43" max="43" width="1" style="49" customWidth="1"/>
    <col min="44" max="44" width="4.15234375" style="49" customWidth="1"/>
    <col min="45" max="45" width="1" style="49" customWidth="1"/>
    <col min="46" max="46" width="4.15234375" style="49" customWidth="1"/>
    <col min="47" max="47" width="1" style="49" customWidth="1"/>
    <col min="48" max="48" width="4.15234375" style="49" customWidth="1"/>
    <col min="49" max="49" width="1" style="49" customWidth="1"/>
    <col min="50" max="50" width="4.15234375" style="49" customWidth="1"/>
    <col min="51" max="51" width="1" style="49" customWidth="1"/>
    <col min="52" max="52" width="4.15234375" style="49" customWidth="1"/>
    <col min="53" max="53" width="1" style="49" customWidth="1"/>
    <col min="54" max="54" width="4.15234375" style="49" customWidth="1"/>
    <col min="55" max="55" width="1" style="49" customWidth="1"/>
    <col min="56" max="56" width="4.15234375" style="49" customWidth="1"/>
    <col min="57" max="57" width="1" style="49" customWidth="1"/>
    <col min="58" max="58" width="4.15234375" style="49" customWidth="1"/>
    <col min="59" max="59" width="1" style="49" customWidth="1"/>
    <col min="60" max="60" width="4.15234375" style="49" customWidth="1"/>
    <col min="61" max="61" width="1" style="49" hidden="1" customWidth="1"/>
    <col min="62" max="62" width="0" style="49" hidden="1" customWidth="1"/>
    <col min="63" max="16384" width="9" style="49" hidden="1"/>
  </cols>
  <sheetData>
    <row r="1" spans="1:62" ht="22.5" customHeight="1" x14ac:dyDescent="0.25">
      <c r="A1" s="75"/>
      <c r="B1" s="76"/>
      <c r="C1" s="77"/>
      <c r="D1" s="77"/>
      <c r="E1" s="77"/>
      <c r="F1" s="77"/>
      <c r="G1" s="77"/>
      <c r="H1" s="77"/>
      <c r="I1" s="75"/>
      <c r="J1" s="75"/>
      <c r="K1" s="75"/>
      <c r="L1" s="78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49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</row>
    <row r="2" spans="1:62" ht="55.5" customHeight="1" x14ac:dyDescent="0.25">
      <c r="A2" s="108" t="s">
        <v>155</v>
      </c>
      <c r="B2" s="79"/>
      <c r="C2" s="80"/>
      <c r="D2" s="298" t="s">
        <v>197</v>
      </c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80"/>
      <c r="AD2" s="49"/>
      <c r="AE2" s="109" t="s">
        <v>154</v>
      </c>
      <c r="AF2" s="96"/>
      <c r="AG2" s="96"/>
      <c r="AH2" s="299" t="s">
        <v>196</v>
      </c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96"/>
    </row>
    <row r="3" spans="1:62" ht="104.25" customHeight="1" x14ac:dyDescent="0.25">
      <c r="A3" s="80"/>
      <c r="B3" s="81" t="s">
        <v>89</v>
      </c>
      <c r="C3" s="82"/>
      <c r="D3" s="83"/>
      <c r="E3" s="83"/>
      <c r="F3" s="83"/>
      <c r="G3" s="83"/>
      <c r="H3" s="83"/>
      <c r="I3" s="83"/>
      <c r="J3" s="83"/>
      <c r="K3" s="83"/>
      <c r="L3" s="84"/>
      <c r="M3" s="83"/>
      <c r="N3" s="83"/>
      <c r="O3" s="83"/>
      <c r="P3" s="83"/>
      <c r="Q3" s="83"/>
      <c r="R3" s="83"/>
      <c r="S3" s="83"/>
      <c r="T3" s="300"/>
      <c r="U3" s="300"/>
      <c r="V3" s="300"/>
      <c r="W3" s="300"/>
      <c r="X3" s="300"/>
      <c r="Y3" s="300"/>
      <c r="Z3" s="300"/>
      <c r="AA3" s="300"/>
      <c r="AB3" s="300"/>
      <c r="AC3" s="83"/>
      <c r="AD3" s="49"/>
      <c r="AE3" s="96"/>
      <c r="AF3" s="97" t="s">
        <v>89</v>
      </c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301"/>
      <c r="AY3" s="301"/>
      <c r="AZ3" s="301"/>
      <c r="BA3" s="301"/>
      <c r="BB3" s="301"/>
      <c r="BC3" s="301"/>
      <c r="BD3" s="301"/>
      <c r="BE3" s="301"/>
      <c r="BF3" s="301"/>
      <c r="BG3" s="96"/>
    </row>
    <row r="4" spans="1:62" ht="29.5" customHeight="1" x14ac:dyDescent="0.25">
      <c r="A4" s="80"/>
      <c r="B4" s="85" t="s">
        <v>90</v>
      </c>
      <c r="C4" s="85"/>
      <c r="D4" s="86"/>
      <c r="E4" s="86"/>
      <c r="F4" s="86"/>
      <c r="G4" s="86"/>
      <c r="H4" s="86"/>
      <c r="I4" s="86"/>
      <c r="J4" s="86"/>
      <c r="K4" s="86"/>
      <c r="L4" s="87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49"/>
      <c r="AE4" s="96"/>
      <c r="AF4" s="98" t="s">
        <v>90</v>
      </c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</row>
    <row r="5" spans="1:62" ht="49.9" customHeight="1" x14ac:dyDescent="0.25">
      <c r="A5" s="88"/>
      <c r="B5" s="89" t="s">
        <v>91</v>
      </c>
      <c r="C5" s="90"/>
      <c r="D5" s="80"/>
      <c r="E5" s="80"/>
      <c r="F5" s="80"/>
      <c r="G5" s="80"/>
      <c r="H5" s="80"/>
      <c r="I5" s="80"/>
      <c r="J5" s="80"/>
      <c r="K5" s="80"/>
      <c r="L5" s="91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49"/>
      <c r="AE5" s="100"/>
      <c r="AF5" s="101" t="s">
        <v>91</v>
      </c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</row>
    <row r="6" spans="1:62" ht="7.5" customHeight="1" x14ac:dyDescent="0.25">
      <c r="A6" s="80"/>
      <c r="B6" s="92"/>
      <c r="C6" s="93"/>
      <c r="D6" s="94"/>
      <c r="E6" s="94"/>
      <c r="F6" s="94"/>
      <c r="G6" s="94"/>
      <c r="H6" s="94"/>
      <c r="I6" s="94"/>
      <c r="J6" s="94"/>
      <c r="K6" s="94"/>
      <c r="L6" s="95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49"/>
      <c r="AE6" s="96"/>
      <c r="AF6" s="102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</row>
    <row r="7" spans="1:62" ht="50.5" customHeight="1" x14ac:dyDescent="0.3">
      <c r="A7" s="80"/>
      <c r="B7" s="117" t="s">
        <v>119</v>
      </c>
      <c r="C7" s="117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42"/>
      <c r="AE7" s="119"/>
      <c r="AF7" s="120" t="s">
        <v>119</v>
      </c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</row>
    <row r="8" spans="1:62" ht="21.75" customHeight="1" x14ac:dyDescent="0.3">
      <c r="A8" s="80"/>
      <c r="B8" s="121" t="s">
        <v>92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43"/>
      <c r="AE8" s="123"/>
      <c r="AF8" s="124" t="s">
        <v>92</v>
      </c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</row>
    <row r="9" spans="1:62" ht="124.15" customHeight="1" x14ac:dyDescent="0.3">
      <c r="A9" s="80"/>
      <c r="B9" s="125" t="s">
        <v>93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43"/>
      <c r="AE9" s="123"/>
      <c r="AF9" s="127" t="s">
        <v>93</v>
      </c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J9" s="129"/>
    </row>
    <row r="10" spans="1:62" s="128" customFormat="1" ht="24" customHeight="1" x14ac:dyDescent="0.35">
      <c r="A10" s="53"/>
      <c r="B10" s="54"/>
      <c r="C10" s="55" t="s">
        <v>153</v>
      </c>
      <c r="D10" s="297">
        <f>cee</f>
        <v>8.0990000000000002</v>
      </c>
      <c r="E10" s="297"/>
      <c r="F10" s="297">
        <f>gee</f>
        <v>5.5</v>
      </c>
      <c r="G10" s="297"/>
      <c r="H10" s="297">
        <f>dee</f>
        <v>2.8</v>
      </c>
      <c r="I10" s="297"/>
      <c r="J10" s="297">
        <f>aaa</f>
        <v>0</v>
      </c>
      <c r="K10" s="297"/>
      <c r="L10" s="297">
        <f>eee</f>
        <v>-2.843</v>
      </c>
      <c r="M10" s="297"/>
      <c r="N10" s="297">
        <f>bee</f>
        <v>-0.88800000000000001</v>
      </c>
      <c r="O10" s="297"/>
      <c r="P10" s="297">
        <f>fsharp</f>
        <v>-3.6309999999999998</v>
      </c>
      <c r="Q10" s="297"/>
      <c r="R10" s="297">
        <f>csharp</f>
        <v>-1.6759999999999999</v>
      </c>
      <c r="S10" s="297"/>
      <c r="T10" s="297">
        <f>aflat</f>
        <v>0.3</v>
      </c>
      <c r="U10" s="297"/>
      <c r="V10" s="297">
        <f>eflat</f>
        <v>2.2000000000000002</v>
      </c>
      <c r="W10" s="297"/>
      <c r="X10" s="297">
        <f>bflat</f>
        <v>4.2</v>
      </c>
      <c r="Y10" s="297"/>
      <c r="Z10" s="297">
        <f>eff</f>
        <v>6.1</v>
      </c>
      <c r="AA10" s="297"/>
      <c r="AB10" s="297">
        <f>cee</f>
        <v>8.0990000000000002</v>
      </c>
      <c r="AC10" s="297"/>
      <c r="AE10" s="105"/>
      <c r="AF10" s="116"/>
      <c r="AG10" s="106" t="s">
        <v>167</v>
      </c>
      <c r="AH10" s="302">
        <f>D10</f>
        <v>8.0990000000000002</v>
      </c>
      <c r="AI10" s="302"/>
      <c r="AJ10" s="302">
        <f t="shared" ref="AJ10:AJ11" si="0">F10</f>
        <v>5.5</v>
      </c>
      <c r="AK10" s="302"/>
      <c r="AL10" s="302">
        <f t="shared" ref="AL10:AL11" si="1">H10</f>
        <v>2.8</v>
      </c>
      <c r="AM10" s="302"/>
      <c r="AN10" s="302">
        <f t="shared" ref="AN10:AN11" si="2">J10</f>
        <v>0</v>
      </c>
      <c r="AO10" s="302"/>
      <c r="AP10" s="302">
        <f t="shared" ref="AP10:AP11" si="3">L10</f>
        <v>-2.843</v>
      </c>
      <c r="AQ10" s="302"/>
      <c r="AR10" s="302">
        <f t="shared" ref="AR10:AR11" si="4">N10</f>
        <v>-0.88800000000000001</v>
      </c>
      <c r="AS10" s="302"/>
      <c r="AT10" s="302">
        <f t="shared" ref="AT10:AT11" si="5">P10</f>
        <v>-3.6309999999999998</v>
      </c>
      <c r="AU10" s="302"/>
      <c r="AV10" s="302">
        <f t="shared" ref="AV10:AV11" si="6">R10</f>
        <v>-1.6759999999999999</v>
      </c>
      <c r="AW10" s="302"/>
      <c r="AX10" s="302">
        <f t="shared" ref="AX10:AX11" si="7">T10</f>
        <v>0.3</v>
      </c>
      <c r="AY10" s="302"/>
      <c r="AZ10" s="302">
        <f t="shared" ref="AZ10:AZ11" si="8">V10</f>
        <v>2.2000000000000002</v>
      </c>
      <c r="BA10" s="302"/>
      <c r="BB10" s="302">
        <f t="shared" ref="BB10:BB11" si="9">X10</f>
        <v>4.2</v>
      </c>
      <c r="BC10" s="302"/>
      <c r="BD10" s="302">
        <f t="shared" ref="BD10:BD11" si="10">Z10</f>
        <v>6.1</v>
      </c>
      <c r="BE10" s="302"/>
      <c r="BF10" s="302">
        <f t="shared" ref="BF10:BF11" si="11">AB10</f>
        <v>8.0990000000000002</v>
      </c>
      <c r="BG10" s="302"/>
    </row>
    <row r="11" spans="1:62" s="128" customFormat="1" ht="15.75" customHeight="1" x14ac:dyDescent="0.35">
      <c r="A11" s="53"/>
      <c r="B11" s="60"/>
      <c r="C11" s="61" t="s">
        <v>166</v>
      </c>
      <c r="D11" s="304">
        <f>cee-equalizedM</f>
        <v>8.0990000000000002</v>
      </c>
      <c r="E11" s="304"/>
      <c r="F11" s="304">
        <f>gee-equalizedM</f>
        <v>5.5</v>
      </c>
      <c r="G11" s="304"/>
      <c r="H11" s="304">
        <f>dee-equalizedM</f>
        <v>2.8</v>
      </c>
      <c r="I11" s="304"/>
      <c r="J11" s="304">
        <f>aaa-equalizedM</f>
        <v>0</v>
      </c>
      <c r="K11" s="304"/>
      <c r="L11" s="304">
        <f>eee-equalizedM</f>
        <v>-2.843</v>
      </c>
      <c r="M11" s="304"/>
      <c r="N11" s="304">
        <f>bee-equalizedM</f>
        <v>-0.88800000000000001</v>
      </c>
      <c r="O11" s="304"/>
      <c r="P11" s="304">
        <f>fsharp-equalizedM</f>
        <v>-3.6309999999999998</v>
      </c>
      <c r="Q11" s="304"/>
      <c r="R11" s="304">
        <f>csharp-equalizedM</f>
        <v>-1.6759999999999999</v>
      </c>
      <c r="S11" s="304"/>
      <c r="T11" s="304">
        <f>aflat-equalizedM</f>
        <v>0.3</v>
      </c>
      <c r="U11" s="304"/>
      <c r="V11" s="304">
        <f>eflat-equalizedM</f>
        <v>2.2000000000000002</v>
      </c>
      <c r="W11" s="304"/>
      <c r="X11" s="304">
        <f>bflat-equalizedM</f>
        <v>4.2</v>
      </c>
      <c r="Y11" s="304"/>
      <c r="Z11" s="304">
        <f>eff-equalizedM</f>
        <v>6.1</v>
      </c>
      <c r="AA11" s="304"/>
      <c r="AB11" s="304">
        <f>cee-equalizedM</f>
        <v>8.0990000000000002</v>
      </c>
      <c r="AC11" s="304"/>
      <c r="AE11" s="64"/>
      <c r="AF11" s="66"/>
      <c r="AG11" s="67" t="str">
        <f>C11</f>
        <v>Offset to equalize tension➤</v>
      </c>
      <c r="AH11" s="303">
        <f>D11</f>
        <v>8.0990000000000002</v>
      </c>
      <c r="AI11" s="303"/>
      <c r="AJ11" s="303">
        <f t="shared" si="0"/>
        <v>5.5</v>
      </c>
      <c r="AK11" s="303"/>
      <c r="AL11" s="303">
        <f t="shared" si="1"/>
        <v>2.8</v>
      </c>
      <c r="AM11" s="303"/>
      <c r="AN11" s="303">
        <f t="shared" si="2"/>
        <v>0</v>
      </c>
      <c r="AO11" s="303"/>
      <c r="AP11" s="303">
        <f t="shared" si="3"/>
        <v>-2.843</v>
      </c>
      <c r="AQ11" s="303"/>
      <c r="AR11" s="303">
        <f t="shared" si="4"/>
        <v>-0.88800000000000001</v>
      </c>
      <c r="AS11" s="303"/>
      <c r="AT11" s="303">
        <f t="shared" si="5"/>
        <v>-3.6309999999999998</v>
      </c>
      <c r="AU11" s="303"/>
      <c r="AV11" s="303">
        <f t="shared" si="6"/>
        <v>-1.6759999999999999</v>
      </c>
      <c r="AW11" s="303"/>
      <c r="AX11" s="303">
        <f t="shared" si="7"/>
        <v>0.3</v>
      </c>
      <c r="AY11" s="303"/>
      <c r="AZ11" s="303">
        <f t="shared" si="8"/>
        <v>2.2000000000000002</v>
      </c>
      <c r="BA11" s="303"/>
      <c r="BB11" s="303">
        <f t="shared" si="9"/>
        <v>4.2</v>
      </c>
      <c r="BC11" s="303"/>
      <c r="BD11" s="303">
        <f t="shared" si="10"/>
        <v>6.1</v>
      </c>
      <c r="BE11" s="303"/>
      <c r="BF11" s="303">
        <f t="shared" si="11"/>
        <v>8.0990000000000002</v>
      </c>
      <c r="BG11" s="303"/>
    </row>
    <row r="12" spans="1:62" s="144" customFormat="1" ht="24" customHeight="1" x14ac:dyDescent="0.35">
      <c r="A12" s="112"/>
      <c r="B12" s="62"/>
      <c r="C12" s="62"/>
      <c r="D12" s="113" t="s">
        <v>94</v>
      </c>
      <c r="E12" s="113"/>
      <c r="F12" s="113" t="s">
        <v>95</v>
      </c>
      <c r="G12" s="113"/>
      <c r="H12" s="113" t="s">
        <v>96</v>
      </c>
      <c r="I12" s="113"/>
      <c r="J12" s="113" t="s">
        <v>97</v>
      </c>
      <c r="K12" s="113"/>
      <c r="L12" s="113" t="s">
        <v>98</v>
      </c>
      <c r="M12" s="113"/>
      <c r="N12" s="113" t="s">
        <v>99</v>
      </c>
      <c r="O12" s="113"/>
      <c r="P12" s="113" t="s">
        <v>156</v>
      </c>
      <c r="Q12" s="113"/>
      <c r="R12" s="113" t="s">
        <v>157</v>
      </c>
      <c r="S12" s="113"/>
      <c r="T12" s="113" t="s">
        <v>158</v>
      </c>
      <c r="U12" s="113"/>
      <c r="V12" s="113" t="s">
        <v>159</v>
      </c>
      <c r="W12" s="113"/>
      <c r="X12" s="113" t="s">
        <v>160</v>
      </c>
      <c r="Y12" s="113"/>
      <c r="Z12" s="113" t="s">
        <v>105</v>
      </c>
      <c r="AA12" s="113"/>
      <c r="AB12" s="113" t="s">
        <v>94</v>
      </c>
      <c r="AC12" s="113"/>
      <c r="AE12" s="114"/>
      <c r="AF12" s="65"/>
      <c r="AG12" s="114"/>
      <c r="AH12" s="115" t="s">
        <v>120</v>
      </c>
      <c r="AI12" s="115"/>
      <c r="AJ12" s="115" t="s">
        <v>121</v>
      </c>
      <c r="AK12" s="115"/>
      <c r="AL12" s="115" t="s">
        <v>122</v>
      </c>
      <c r="AM12" s="115"/>
      <c r="AN12" s="115" t="s">
        <v>123</v>
      </c>
      <c r="AO12" s="115"/>
      <c r="AP12" s="115" t="s">
        <v>124</v>
      </c>
      <c r="AQ12" s="115"/>
      <c r="AR12" s="115" t="s">
        <v>125</v>
      </c>
      <c r="AS12" s="115"/>
      <c r="AT12" s="115" t="s">
        <v>161</v>
      </c>
      <c r="AU12" s="115"/>
      <c r="AV12" s="115" t="s">
        <v>162</v>
      </c>
      <c r="AW12" s="115"/>
      <c r="AX12" s="115" t="s">
        <v>163</v>
      </c>
      <c r="AY12" s="115"/>
      <c r="AZ12" s="115" t="s">
        <v>164</v>
      </c>
      <c r="BA12" s="115"/>
      <c r="BB12" s="115" t="s">
        <v>165</v>
      </c>
      <c r="BC12" s="115"/>
      <c r="BD12" s="115" t="s">
        <v>126</v>
      </c>
      <c r="BE12" s="115"/>
      <c r="BF12" s="115" t="s">
        <v>120</v>
      </c>
      <c r="BG12" s="115"/>
    </row>
    <row r="13" spans="1:62" ht="12.65" customHeight="1" x14ac:dyDescent="0.3">
      <c r="A13" s="52"/>
      <c r="B13" s="305" t="s">
        <v>87</v>
      </c>
      <c r="C13" s="305"/>
      <c r="D13" s="39">
        <f>ChartData!D72</f>
        <v>2.7442861351655967</v>
      </c>
      <c r="E13" s="39"/>
      <c r="F13" s="39">
        <f>ChartData!F72</f>
        <v>7.2982861351655677</v>
      </c>
      <c r="G13" s="39"/>
      <c r="H13" s="39">
        <f>ChartData!H72</f>
        <v>7.2552861351654121</v>
      </c>
      <c r="I13" s="39"/>
      <c r="J13" s="39">
        <f>ChartData!J72</f>
        <v>12.010286135165495</v>
      </c>
      <c r="K13" s="39"/>
      <c r="L13" s="39">
        <f>ChartData!L72</f>
        <v>16.829286135165443</v>
      </c>
      <c r="M13" s="39"/>
      <c r="N13" s="39">
        <f>ChartData!N72</f>
        <v>16.774286135165937</v>
      </c>
      <c r="O13" s="39"/>
      <c r="P13" s="39">
        <f>ChartData!P72</f>
        <v>21.517286135165563</v>
      </c>
      <c r="Q13" s="39"/>
      <c r="R13" s="39">
        <f>ChartData!R72</f>
        <v>21.462286135164863</v>
      </c>
      <c r="S13" s="39"/>
      <c r="T13" s="39">
        <f>ChartData!T72</f>
        <v>21.485286135165317</v>
      </c>
      <c r="U13" s="39"/>
      <c r="V13" s="39">
        <f>ChartData!V72</f>
        <v>16.986286135165365</v>
      </c>
      <c r="W13" s="39"/>
      <c r="X13" s="39">
        <f>ChartData!X72</f>
        <v>12.28628613516565</v>
      </c>
      <c r="Y13" s="39"/>
      <c r="Z13" s="39">
        <f>ChartData!Z72</f>
        <v>7.5862861351655582</v>
      </c>
      <c r="AA13" s="39"/>
      <c r="AB13" s="39">
        <f>ChartData!AB72</f>
        <v>2.7442861351663637</v>
      </c>
      <c r="AC13" s="51"/>
      <c r="AE13" s="63"/>
      <c r="AF13" s="306" t="str">
        <f t="shared" ref="AF13:AF18" si="12">B13</f>
        <v>M3 ¢</v>
      </c>
      <c r="AG13" s="306"/>
      <c r="AH13" s="68">
        <f>V13</f>
        <v>16.986286135165365</v>
      </c>
      <c r="AI13" s="69"/>
      <c r="AJ13" s="68">
        <f>X13</f>
        <v>12.28628613516565</v>
      </c>
      <c r="AK13" s="69"/>
      <c r="AL13" s="68">
        <f>Z13</f>
        <v>7.5862861351655582</v>
      </c>
      <c r="AM13" s="69"/>
      <c r="AN13" s="68">
        <f>AB13</f>
        <v>2.7442861351663637</v>
      </c>
      <c r="AO13" s="69"/>
      <c r="AP13" s="68">
        <f>F13</f>
        <v>7.2982861351655677</v>
      </c>
      <c r="AQ13" s="69"/>
      <c r="AR13" s="68">
        <f>H13</f>
        <v>7.2552861351654121</v>
      </c>
      <c r="AS13" s="69"/>
      <c r="AT13" s="68">
        <f>J13</f>
        <v>12.010286135165495</v>
      </c>
      <c r="AU13" s="69"/>
      <c r="AV13" s="68">
        <f>L13</f>
        <v>16.829286135165443</v>
      </c>
      <c r="AW13" s="69"/>
      <c r="AX13" s="68">
        <f>N13</f>
        <v>16.774286135165937</v>
      </c>
      <c r="AY13" s="69"/>
      <c r="AZ13" s="68">
        <f>P13</f>
        <v>21.517286135165563</v>
      </c>
      <c r="BA13" s="69"/>
      <c r="BB13" s="68">
        <f>R13</f>
        <v>21.462286135164863</v>
      </c>
      <c r="BC13" s="69"/>
      <c r="BD13" s="68">
        <f>T13</f>
        <v>21.485286135165317</v>
      </c>
      <c r="BE13" s="69"/>
      <c r="BF13" s="68">
        <f>V13</f>
        <v>16.986286135165365</v>
      </c>
      <c r="BG13" s="63"/>
    </row>
    <row r="14" spans="1:62" ht="12.65" customHeight="1" x14ac:dyDescent="0.3">
      <c r="A14" s="52"/>
      <c r="B14" s="307" t="s">
        <v>79</v>
      </c>
      <c r="C14" s="307"/>
      <c r="D14" s="40">
        <f>ChartData!D73</f>
        <v>-7.2982870005527714</v>
      </c>
      <c r="E14" s="40"/>
      <c r="F14" s="40">
        <f>ChartData!F73</f>
        <v>-11.953287000552114</v>
      </c>
      <c r="G14" s="40"/>
      <c r="H14" s="40">
        <f>ChartData!H73</f>
        <v>-12.010287000552198</v>
      </c>
      <c r="I14" s="40"/>
      <c r="J14" s="40">
        <f>ChartData!J73</f>
        <v>-16.808287000551882</v>
      </c>
      <c r="K14" s="40"/>
      <c r="L14" s="40">
        <f>ChartData!L73</f>
        <v>-16.829287000552611</v>
      </c>
      <c r="M14" s="40"/>
      <c r="N14" s="40">
        <f>ChartData!N73</f>
        <v>-21.472287000552463</v>
      </c>
      <c r="O14" s="40"/>
      <c r="P14" s="40">
        <f>ChartData!P73</f>
        <v>-21.517287000552081</v>
      </c>
      <c r="Q14" s="40"/>
      <c r="R14" s="40">
        <f>ChartData!R73</f>
        <v>-21.441287000552116</v>
      </c>
      <c r="S14" s="40"/>
      <c r="T14" s="40">
        <f>ChartData!T73</f>
        <v>-21.540287000551725</v>
      </c>
      <c r="U14" s="40"/>
      <c r="V14" s="40">
        <f>ChartData!V73</f>
        <v>-16.941287000552229</v>
      </c>
      <c r="W14" s="40"/>
      <c r="X14" s="40">
        <f>ChartData!X73</f>
        <v>-12.341287000552148</v>
      </c>
      <c r="Y14" s="40"/>
      <c r="Z14" s="40">
        <f>ChartData!Z73</f>
        <v>-7.5422870005525713</v>
      </c>
      <c r="AA14" s="40"/>
      <c r="AB14" s="40">
        <f>ChartData!AB73</f>
        <v>-7.2982870005525768</v>
      </c>
      <c r="AC14" s="41"/>
      <c r="AE14" s="63"/>
      <c r="AF14" s="308" t="str">
        <f t="shared" si="12"/>
        <v>m3 ¢</v>
      </c>
      <c r="AG14" s="308"/>
      <c r="AH14" s="70">
        <f>T14</f>
        <v>-21.540287000551725</v>
      </c>
      <c r="AI14" s="70"/>
      <c r="AJ14" s="70">
        <f>V14</f>
        <v>-16.941287000552229</v>
      </c>
      <c r="AK14" s="70"/>
      <c r="AL14" s="70">
        <f>X14</f>
        <v>-12.341287000552148</v>
      </c>
      <c r="AM14" s="70"/>
      <c r="AN14" s="70">
        <f>Z14</f>
        <v>-7.5422870005525713</v>
      </c>
      <c r="AO14" s="70"/>
      <c r="AP14" s="70">
        <f>AB14</f>
        <v>-7.2982870005525768</v>
      </c>
      <c r="AQ14" s="70"/>
      <c r="AR14" s="70">
        <f>F14</f>
        <v>-11.953287000552114</v>
      </c>
      <c r="AS14" s="70"/>
      <c r="AT14" s="70">
        <f>H14</f>
        <v>-12.010287000552198</v>
      </c>
      <c r="AU14" s="70"/>
      <c r="AV14" s="70">
        <f>J14</f>
        <v>-16.808287000551882</v>
      </c>
      <c r="AW14" s="70"/>
      <c r="AX14" s="70">
        <f>L14</f>
        <v>-16.829287000552611</v>
      </c>
      <c r="AY14" s="70"/>
      <c r="AZ14" s="70">
        <f>N14</f>
        <v>-21.472287000552463</v>
      </c>
      <c r="BA14" s="70"/>
      <c r="BB14" s="70">
        <f>P14</f>
        <v>-21.517287000552081</v>
      </c>
      <c r="BC14" s="70"/>
      <c r="BD14" s="70">
        <f>R14</f>
        <v>-21.441287000552116</v>
      </c>
      <c r="BE14" s="70"/>
      <c r="BF14" s="70">
        <f>T14</f>
        <v>-21.540287000551725</v>
      </c>
      <c r="BG14" s="63"/>
    </row>
    <row r="15" spans="1:62" ht="12.65" customHeight="1" x14ac:dyDescent="0.3">
      <c r="A15" s="52"/>
      <c r="B15" s="309" t="s">
        <v>81</v>
      </c>
      <c r="C15" s="309"/>
      <c r="D15" s="56">
        <f>ChartData!D74</f>
        <v>-4.554000865386838</v>
      </c>
      <c r="E15" s="56"/>
      <c r="F15" s="56">
        <f>ChartData!F74</f>
        <v>-4.6550008653865147</v>
      </c>
      <c r="G15" s="56"/>
      <c r="H15" s="56">
        <f>ChartData!H74</f>
        <v>-4.7550008653868998</v>
      </c>
      <c r="I15" s="56"/>
      <c r="J15" s="56">
        <f>ChartData!J74</f>
        <v>-4.7980008653862924</v>
      </c>
      <c r="K15" s="56"/>
      <c r="L15" s="56">
        <f>ChartData!L74</f>
        <v>-8.6538721848522665E-7</v>
      </c>
      <c r="M15" s="56"/>
      <c r="N15" s="56">
        <f>ChartData!N74</f>
        <v>-4.6980008653866063</v>
      </c>
      <c r="O15" s="56"/>
      <c r="P15" s="56">
        <f>ChartData!P74</f>
        <v>-8.6538664186845572E-7</v>
      </c>
      <c r="Q15" s="56"/>
      <c r="R15" s="56">
        <f>ChartData!R74</f>
        <v>2.0999134612990474E-2</v>
      </c>
      <c r="S15" s="56"/>
      <c r="T15" s="56">
        <f>ChartData!T74</f>
        <v>-5.5000865386661532E-2</v>
      </c>
      <c r="U15" s="56"/>
      <c r="V15" s="56">
        <f>ChartData!V74</f>
        <v>4.4999134612723299E-2</v>
      </c>
      <c r="W15" s="56"/>
      <c r="X15" s="56">
        <f>ChartData!X74</f>
        <v>-5.5000865386469318E-2</v>
      </c>
      <c r="Y15" s="56"/>
      <c r="Z15" s="56">
        <f>ChartData!Z74</f>
        <v>4.3999134613262755E-2</v>
      </c>
      <c r="AA15" s="56"/>
      <c r="AB15" s="56">
        <f>ChartData!AB74</f>
        <v>-4.5540008653866453</v>
      </c>
      <c r="AC15" s="42"/>
      <c r="AE15" s="63"/>
      <c r="AF15" s="310" t="str">
        <f t="shared" si="12"/>
        <v>5th ¢</v>
      </c>
      <c r="AG15" s="310"/>
      <c r="AH15" s="71">
        <f>D15</f>
        <v>-4.554000865386838</v>
      </c>
      <c r="AI15" s="71"/>
      <c r="AJ15" s="71">
        <f>F15</f>
        <v>-4.6550008653865147</v>
      </c>
      <c r="AK15" s="71"/>
      <c r="AL15" s="71">
        <f>H15</f>
        <v>-4.7550008653868998</v>
      </c>
      <c r="AM15" s="71"/>
      <c r="AN15" s="71">
        <f>J15</f>
        <v>-4.7980008653862924</v>
      </c>
      <c r="AO15" s="71"/>
      <c r="AP15" s="71">
        <f>L15</f>
        <v>-8.6538721848522665E-7</v>
      </c>
      <c r="AQ15" s="71"/>
      <c r="AR15" s="71">
        <f>N15</f>
        <v>-4.6980008653866063</v>
      </c>
      <c r="AS15" s="71"/>
      <c r="AT15" s="71">
        <f>P15</f>
        <v>-8.6538664186845572E-7</v>
      </c>
      <c r="AU15" s="71"/>
      <c r="AV15" s="71">
        <f>R15</f>
        <v>2.0999134612990474E-2</v>
      </c>
      <c r="AW15" s="71"/>
      <c r="AX15" s="71">
        <f>T15</f>
        <v>-5.5000865386661532E-2</v>
      </c>
      <c r="AY15" s="71"/>
      <c r="AZ15" s="71">
        <f>V15</f>
        <v>4.4999134612723299E-2</v>
      </c>
      <c r="BA15" s="71"/>
      <c r="BB15" s="71">
        <f>X15</f>
        <v>-5.5000865386469318E-2</v>
      </c>
      <c r="BC15" s="71"/>
      <c r="BD15" s="71">
        <f>Z15</f>
        <v>4.3999134613262755E-2</v>
      </c>
      <c r="BE15" s="71"/>
      <c r="BF15" s="71">
        <f>AB15</f>
        <v>-4.5540008653866453</v>
      </c>
      <c r="BG15" s="63"/>
    </row>
    <row r="16" spans="1:62" ht="12.65" customHeight="1" x14ac:dyDescent="0.3">
      <c r="A16" s="52"/>
      <c r="B16" s="305" t="s">
        <v>78</v>
      </c>
      <c r="C16" s="305"/>
      <c r="D16" s="57">
        <f>ChartData!D75</f>
        <v>1.0424848576599288</v>
      </c>
      <c r="E16" s="57"/>
      <c r="F16" s="57">
        <f>ChartData!F75</f>
        <v>4.1531879068598982</v>
      </c>
      <c r="G16" s="57"/>
      <c r="H16" s="57">
        <f>ChartData!H75</f>
        <v>3.0881853603915488</v>
      </c>
      <c r="I16" s="57"/>
      <c r="J16" s="57">
        <f>ChartData!J75</f>
        <v>7.6576861961409577</v>
      </c>
      <c r="K16" s="57"/>
      <c r="L16" s="57">
        <f>ChartData!L75</f>
        <v>8.0366088783121086</v>
      </c>
      <c r="M16" s="57"/>
      <c r="N16" s="57">
        <f>ChartData!N75</f>
        <v>12.015325329689176</v>
      </c>
      <c r="O16" s="57"/>
      <c r="P16" s="57">
        <f>ChartData!P75</f>
        <v>11.544037273387971</v>
      </c>
      <c r="Q16" s="57"/>
      <c r="R16" s="57">
        <f>ChartData!R75</f>
        <v>8.6357598396249386</v>
      </c>
      <c r="S16" s="57"/>
      <c r="T16" s="57">
        <f>ChartData!T75</f>
        <v>12.967765101653413</v>
      </c>
      <c r="U16" s="57"/>
      <c r="V16" s="57">
        <f>ChartData!V75</f>
        <v>7.678997813052888</v>
      </c>
      <c r="W16" s="57"/>
      <c r="X16" s="57">
        <f>ChartData!X75</f>
        <v>8.3202990003846935</v>
      </c>
      <c r="Y16" s="57"/>
      <c r="Z16" s="57">
        <f>ChartData!Z75</f>
        <v>3.8477328597339238</v>
      </c>
      <c r="AA16" s="57"/>
      <c r="AB16" s="57">
        <f>ChartData!AB75</f>
        <v>2.0849697153203124</v>
      </c>
      <c r="AC16" s="43"/>
      <c r="AE16" s="63"/>
      <c r="AF16" s="306" t="str">
        <f t="shared" si="12"/>
        <v>M3 bps</v>
      </c>
      <c r="AG16" s="306"/>
      <c r="AH16" s="72">
        <f>V16</f>
        <v>7.678997813052888</v>
      </c>
      <c r="AI16" s="72"/>
      <c r="AJ16" s="72">
        <f>X16</f>
        <v>8.3202990003846935</v>
      </c>
      <c r="AK16" s="72"/>
      <c r="AL16" s="72">
        <f>Z16</f>
        <v>3.8477328597339238</v>
      </c>
      <c r="AM16" s="72"/>
      <c r="AN16" s="72">
        <f>AB16</f>
        <v>2.0849697153203124</v>
      </c>
      <c r="AO16" s="72"/>
      <c r="AP16" s="72">
        <f>F16</f>
        <v>4.1531879068598982</v>
      </c>
      <c r="AQ16" s="72"/>
      <c r="AR16" s="72">
        <f>H16*2</f>
        <v>6.1763707207830976</v>
      </c>
      <c r="AS16" s="72"/>
      <c r="AT16" s="72">
        <f>J16</f>
        <v>7.6576861961409577</v>
      </c>
      <c r="AU16" s="72"/>
      <c r="AV16" s="72">
        <f>L16</f>
        <v>8.0366088783121086</v>
      </c>
      <c r="AW16" s="72"/>
      <c r="AX16" s="72">
        <f>N16</f>
        <v>12.015325329689176</v>
      </c>
      <c r="AY16" s="72"/>
      <c r="AZ16" s="72">
        <f>P16</f>
        <v>11.544037273387971</v>
      </c>
      <c r="BA16" s="72"/>
      <c r="BB16" s="72">
        <f>R16*2</f>
        <v>17.271519679249877</v>
      </c>
      <c r="BC16" s="72"/>
      <c r="BD16" s="72">
        <f>T16</f>
        <v>12.967765101653413</v>
      </c>
      <c r="BE16" s="72"/>
      <c r="BF16" s="72">
        <f>V16*2</f>
        <v>15.357995626105776</v>
      </c>
      <c r="BG16" s="63"/>
    </row>
    <row r="17" spans="1:62" ht="12.65" customHeight="1" x14ac:dyDescent="0.3">
      <c r="A17" s="52"/>
      <c r="B17" s="307" t="s">
        <v>80</v>
      </c>
      <c r="C17" s="307"/>
      <c r="D17" s="58">
        <f>ChartData!D76</f>
        <v>-4.1531884003588857</v>
      </c>
      <c r="E17" s="58"/>
      <c r="F17" s="58">
        <f>ChartData!F76</f>
        <v>-10.189572622040941</v>
      </c>
      <c r="G17" s="58"/>
      <c r="H17" s="58">
        <f>ChartData!H76</f>
        <v>-7.6576867498224601</v>
      </c>
      <c r="I17" s="58"/>
      <c r="J17" s="58">
        <f>ChartData!J76</f>
        <v>-16.053064507613271</v>
      </c>
      <c r="K17" s="58"/>
      <c r="L17" s="58">
        <f>ChartData!L76</f>
        <v>-12.054913934341812</v>
      </c>
      <c r="M17" s="58"/>
      <c r="N17" s="58">
        <f>ChartData!N76</f>
        <v>-23.03949037110624</v>
      </c>
      <c r="O17" s="58"/>
      <c r="P17" s="58">
        <f>ChartData!P76</f>
        <v>-17.316056602183835</v>
      </c>
      <c r="Q17" s="58"/>
      <c r="R17" s="58">
        <f>ChartData!R76</f>
        <v>-12.941043978805965</v>
      </c>
      <c r="S17" s="58"/>
      <c r="T17" s="58">
        <f>ChartData!T76</f>
        <v>-19.501133408296027</v>
      </c>
      <c r="U17" s="58"/>
      <c r="V17" s="58">
        <f>ChartData!V76</f>
        <v>-11.488131609785569</v>
      </c>
      <c r="W17" s="58"/>
      <c r="X17" s="58">
        <f>ChartData!X76</f>
        <v>-12.536119654243976</v>
      </c>
      <c r="Y17" s="58"/>
      <c r="Z17" s="58">
        <f>ChartData!Z76</f>
        <v>-5.7381978860416893</v>
      </c>
      <c r="AA17" s="58"/>
      <c r="AB17" s="58">
        <f>ChartData!AB76</f>
        <v>-8.3063768007177714</v>
      </c>
      <c r="AC17" s="44"/>
      <c r="AE17" s="63"/>
      <c r="AF17" s="308" t="str">
        <f t="shared" si="12"/>
        <v>m3 bps</v>
      </c>
      <c r="AG17" s="308"/>
      <c r="AH17" s="73">
        <f>T17/2</f>
        <v>-9.7505667041480137</v>
      </c>
      <c r="AI17" s="70"/>
      <c r="AJ17" s="73">
        <f>V17</f>
        <v>-11.488131609785569</v>
      </c>
      <c r="AK17" s="70"/>
      <c r="AL17" s="73">
        <f>X17/2</f>
        <v>-6.2680598271219878</v>
      </c>
      <c r="AM17" s="70"/>
      <c r="AN17" s="73">
        <f>Z17</f>
        <v>-5.7381978860416893</v>
      </c>
      <c r="AO17" s="70"/>
      <c r="AP17" s="73">
        <f>AB17/2</f>
        <v>-4.1531884003588857</v>
      </c>
      <c r="AQ17" s="70"/>
      <c r="AR17" s="73">
        <f>F17</f>
        <v>-10.189572622040941</v>
      </c>
      <c r="AS17" s="70"/>
      <c r="AT17" s="73">
        <f>H17</f>
        <v>-7.6576867498224601</v>
      </c>
      <c r="AU17" s="70"/>
      <c r="AV17" s="73">
        <f>J17/2</f>
        <v>-8.0265322538066357</v>
      </c>
      <c r="AW17" s="70"/>
      <c r="AX17" s="73">
        <f>L17</f>
        <v>-12.054913934341812</v>
      </c>
      <c r="AY17" s="70"/>
      <c r="AZ17" s="73">
        <f>N17/2</f>
        <v>-11.51974518555312</v>
      </c>
      <c r="BA17" s="70"/>
      <c r="BB17" s="73">
        <f>P17</f>
        <v>-17.316056602183835</v>
      </c>
      <c r="BC17" s="70"/>
      <c r="BD17" s="73">
        <f>R17</f>
        <v>-12.941043978805965</v>
      </c>
      <c r="BE17" s="70"/>
      <c r="BF17" s="73">
        <f>T17</f>
        <v>-19.501133408296027</v>
      </c>
      <c r="BG17" s="63"/>
    </row>
    <row r="18" spans="1:62" ht="12.65" customHeight="1" x14ac:dyDescent="0.3">
      <c r="A18" s="110" t="s">
        <v>127</v>
      </c>
      <c r="B18" s="309" t="s">
        <v>82</v>
      </c>
      <c r="C18" s="309"/>
      <c r="D18" s="59">
        <f>ChartData!D77</f>
        <v>-1.0357844455475629</v>
      </c>
      <c r="E18" s="59"/>
      <c r="F18" s="59">
        <f>ChartData!F77</f>
        <v>-1.5839163047004376</v>
      </c>
      <c r="G18" s="59"/>
      <c r="H18" s="59">
        <f>ChartData!H77</f>
        <v>-1.2101634836940889</v>
      </c>
      <c r="I18" s="59"/>
      <c r="J18" s="59">
        <f>ChartData!J77</f>
        <v>-1.8266140853606885</v>
      </c>
      <c r="K18" s="59"/>
      <c r="L18" s="59">
        <f>ChartData!L77</f>
        <v>-2.4674949372638366E-7</v>
      </c>
      <c r="M18" s="59"/>
      <c r="N18" s="59">
        <f>ChartData!N77</f>
        <v>-2.006600950628922</v>
      </c>
      <c r="O18" s="59"/>
      <c r="P18" s="59">
        <f>ChartData!P77</f>
        <v>-2.7684075121214846E-7</v>
      </c>
      <c r="Q18" s="59"/>
      <c r="R18" s="59">
        <f>ChartData!R77</f>
        <v>5.0383122526227453E-3</v>
      </c>
      <c r="S18" s="59"/>
      <c r="T18" s="59">
        <f>ChartData!T77</f>
        <v>-1.9794302326317847E-2</v>
      </c>
      <c r="U18" s="59"/>
      <c r="V18" s="59">
        <f>ChartData!V77</f>
        <v>1.2146043917425686E-2</v>
      </c>
      <c r="W18" s="59"/>
      <c r="X18" s="59">
        <f>ChartData!X77</f>
        <v>-2.2268461466751432E-2</v>
      </c>
      <c r="Y18" s="59"/>
      <c r="Z18" s="59">
        <f>ChartData!Z77</f>
        <v>1.3360561423723993E-2</v>
      </c>
      <c r="AA18" s="59"/>
      <c r="AB18" s="59">
        <f>ChartData!AB77</f>
        <v>-2.0715688910950121</v>
      </c>
      <c r="AC18" s="45"/>
      <c r="AE18" s="111" t="s">
        <v>127</v>
      </c>
      <c r="AF18" s="310" t="str">
        <f t="shared" si="12"/>
        <v>5th bps</v>
      </c>
      <c r="AG18" s="310"/>
      <c r="AH18" s="74">
        <f>D18</f>
        <v>-1.0357844455475629</v>
      </c>
      <c r="AI18" s="71"/>
      <c r="AJ18" s="74">
        <f>F18</f>
        <v>-1.5839163047004376</v>
      </c>
      <c r="AK18" s="71"/>
      <c r="AL18" s="74">
        <f>H18</f>
        <v>-1.2101634836940889</v>
      </c>
      <c r="AM18" s="71"/>
      <c r="AN18" s="74">
        <f>J18</f>
        <v>-1.8266140853606885</v>
      </c>
      <c r="AO18" s="71"/>
      <c r="AP18" s="74">
        <f>L18</f>
        <v>-2.4674949372638366E-7</v>
      </c>
      <c r="AQ18" s="71"/>
      <c r="AR18" s="74">
        <f>N18</f>
        <v>-2.006600950628922</v>
      </c>
      <c r="AS18" s="71"/>
      <c r="AT18" s="74">
        <f>P18</f>
        <v>-2.7684075121214846E-7</v>
      </c>
      <c r="AU18" s="71"/>
      <c r="AV18" s="74">
        <f>R18</f>
        <v>5.0383122526227453E-3</v>
      </c>
      <c r="AW18" s="71"/>
      <c r="AX18" s="74">
        <f>T18</f>
        <v>-1.9794302326317847E-2</v>
      </c>
      <c r="AY18" s="71"/>
      <c r="AZ18" s="74">
        <f>V18</f>
        <v>1.2146043917425686E-2</v>
      </c>
      <c r="BA18" s="71"/>
      <c r="BB18" s="74">
        <f>X18</f>
        <v>-2.2268461466751432E-2</v>
      </c>
      <c r="BC18" s="71"/>
      <c r="BD18" s="74">
        <f>Z18</f>
        <v>1.3360561423723993E-2</v>
      </c>
      <c r="BE18" s="71"/>
      <c r="BF18" s="74">
        <f>AB18</f>
        <v>-2.0715688910950121</v>
      </c>
      <c r="BG18" s="63"/>
    </row>
    <row r="19" spans="1:62" ht="30" customHeight="1" x14ac:dyDescent="0.3">
      <c r="A19" s="312"/>
      <c r="B19" s="312"/>
      <c r="C19" s="46"/>
      <c r="D19" s="46"/>
      <c r="E19" s="52"/>
      <c r="F19" s="52"/>
      <c r="G19" s="52"/>
      <c r="H19" s="52"/>
      <c r="I19" s="52"/>
      <c r="J19" s="52"/>
      <c r="K19" s="52"/>
      <c r="L19" s="38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E19" s="313"/>
      <c r="AF19" s="314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</row>
    <row r="20" spans="1:62" ht="60" customHeight="1" x14ac:dyDescent="0.3">
      <c r="A20" s="315"/>
      <c r="B20" s="315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9"/>
    </row>
    <row r="21" spans="1:62" s="132" customFormat="1" hidden="1" x14ac:dyDescent="0.3">
      <c r="A21" s="130"/>
      <c r="B21" s="130"/>
      <c r="C21" s="48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</row>
    <row r="22" spans="1:62" ht="21.65" hidden="1" customHeight="1" x14ac:dyDescent="0.3">
      <c r="A22" s="47"/>
      <c r="B22" s="47"/>
      <c r="C22" s="48"/>
      <c r="D22" s="48"/>
      <c r="AD22" s="49"/>
    </row>
    <row r="23" spans="1:62" ht="1.9" hidden="1" customHeight="1" x14ac:dyDescent="0.3">
      <c r="A23" s="47"/>
      <c r="B23" s="47"/>
      <c r="C23" s="48"/>
      <c r="D23" s="48"/>
      <c r="AE23" s="47"/>
      <c r="AF23" s="47"/>
    </row>
    <row r="24" spans="1:62" ht="13.9" hidden="1" customHeight="1" x14ac:dyDescent="0.3">
      <c r="L24" s="49"/>
      <c r="AD24" s="49"/>
    </row>
    <row r="25" spans="1:62" ht="13.9" hidden="1" customHeight="1" x14ac:dyDescent="0.3">
      <c r="L25" s="49"/>
      <c r="AD25" s="49"/>
    </row>
    <row r="26" spans="1:62" ht="13.9" hidden="1" customHeight="1" x14ac:dyDescent="0.3">
      <c r="L26" s="49"/>
      <c r="AD26" s="49"/>
    </row>
    <row r="27" spans="1:62" ht="13.9" hidden="1" customHeight="1" x14ac:dyDescent="0.3">
      <c r="L27" s="49"/>
      <c r="AD27" s="49"/>
    </row>
    <row r="28" spans="1:62" ht="13.9" hidden="1" customHeight="1" x14ac:dyDescent="0.3">
      <c r="L28" s="49"/>
      <c r="AD28" s="49"/>
    </row>
    <row r="29" spans="1:62" ht="13.9" hidden="1" customHeight="1" x14ac:dyDescent="0.3">
      <c r="L29" s="49"/>
      <c r="AD29" s="49"/>
    </row>
    <row r="30" spans="1:62" ht="13.9" hidden="1" customHeight="1" x14ac:dyDescent="0.3">
      <c r="L30" s="49"/>
      <c r="AD30" s="49"/>
    </row>
    <row r="31" spans="1:62" ht="13.9" hidden="1" customHeight="1" x14ac:dyDescent="0.3">
      <c r="L31" s="49"/>
      <c r="AD31" s="49"/>
    </row>
    <row r="32" spans="1:62" ht="13.9" hidden="1" customHeight="1" x14ac:dyDescent="0.3">
      <c r="L32" s="49"/>
      <c r="AD32" s="49"/>
    </row>
    <row r="33" spans="3:58" ht="13.9" hidden="1" customHeight="1" x14ac:dyDescent="0.3">
      <c r="L33" s="49"/>
      <c r="AD33" s="49"/>
    </row>
    <row r="34" spans="3:58" ht="13.9" hidden="1" customHeight="1" x14ac:dyDescent="0.3">
      <c r="L34" s="49"/>
      <c r="AD34" s="49"/>
    </row>
    <row r="35" spans="3:58" ht="13.9" hidden="1" customHeight="1" x14ac:dyDescent="0.3">
      <c r="L35" s="49"/>
      <c r="AD35" s="49"/>
    </row>
    <row r="36" spans="3:58" ht="13.9" hidden="1" customHeight="1" x14ac:dyDescent="0.3">
      <c r="L36" s="49"/>
      <c r="AD36" s="49"/>
    </row>
    <row r="37" spans="3:58" ht="15" hidden="1" customHeight="1" x14ac:dyDescent="0.3">
      <c r="L37" s="49"/>
      <c r="AD37" s="49"/>
    </row>
    <row r="38" spans="3:58" ht="15" hidden="1" customHeight="1" x14ac:dyDescent="0.3">
      <c r="L38" s="49"/>
      <c r="AD38" s="49"/>
    </row>
    <row r="39" spans="3:58" ht="15" hidden="1" customHeight="1" x14ac:dyDescent="0.3">
      <c r="L39" s="49"/>
      <c r="AD39" s="49"/>
    </row>
    <row r="40" spans="3:58" ht="30" hidden="1" customHeight="1" x14ac:dyDescent="0.3">
      <c r="C40" s="48"/>
      <c r="D40" s="48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</row>
    <row r="41" spans="3:58" ht="30" hidden="1" customHeight="1" x14ac:dyDescent="0.3">
      <c r="F41" s="134"/>
      <c r="G41" s="134"/>
      <c r="H41" s="135"/>
      <c r="I41" s="134"/>
      <c r="J41" s="136"/>
      <c r="K41" s="134"/>
      <c r="L41" s="137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7"/>
      <c r="AE41" s="134"/>
      <c r="AF41" s="134"/>
      <c r="AG41" s="134"/>
      <c r="AH41" s="134"/>
      <c r="AI41" s="134"/>
      <c r="AJ41" s="134"/>
      <c r="AK41" s="134"/>
      <c r="AL41" s="138"/>
      <c r="AM41" s="138"/>
      <c r="AN41" s="139"/>
      <c r="AO41" s="134"/>
      <c r="AP41" s="137"/>
      <c r="AQ41" s="134"/>
      <c r="AR41" s="134"/>
      <c r="AS41" s="134"/>
      <c r="AT41" s="134"/>
    </row>
    <row r="42" spans="3:58" ht="30" hidden="1" customHeight="1" x14ac:dyDescent="0.3">
      <c r="D42" s="140"/>
      <c r="F42" s="141"/>
    </row>
    <row r="43" spans="3:58" ht="30" hidden="1" customHeight="1" x14ac:dyDescent="0.3">
      <c r="D43" s="140"/>
    </row>
    <row r="44" spans="3:58" ht="30" hidden="1" customHeight="1" x14ac:dyDescent="0.3">
      <c r="D44" s="140"/>
    </row>
    <row r="45" spans="3:58" ht="30" hidden="1" customHeight="1" x14ac:dyDescent="0.3">
      <c r="D45" s="140"/>
    </row>
    <row r="46" spans="3:58" ht="30" hidden="1" customHeight="1" x14ac:dyDescent="0.3">
      <c r="D46" s="140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</row>
    <row r="47" spans="3:58" ht="30" hidden="1" customHeight="1" x14ac:dyDescent="0.3"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</row>
    <row r="48" spans="3:58" ht="30" hidden="1" customHeight="1" x14ac:dyDescent="0.3"/>
    <row r="49" ht="30" hidden="1" customHeight="1" x14ac:dyDescent="0.3"/>
    <row r="50" ht="30" hidden="1" customHeight="1" x14ac:dyDescent="0.3"/>
    <row r="51" ht="30" hidden="1" customHeight="1" x14ac:dyDescent="0.3"/>
    <row r="52" ht="30" hidden="1" customHeight="1" x14ac:dyDescent="0.3"/>
    <row r="53" ht="30" hidden="1" customHeight="1" x14ac:dyDescent="0.3"/>
    <row r="54" ht="30" hidden="1" customHeight="1" x14ac:dyDescent="0.3"/>
    <row r="55" ht="30" hidden="1" customHeight="1" x14ac:dyDescent="0.3"/>
    <row r="56" ht="30" hidden="1" customHeight="1" x14ac:dyDescent="0.3"/>
    <row r="57" ht="30" hidden="1" customHeight="1" x14ac:dyDescent="0.3"/>
    <row r="58" ht="30" hidden="1" customHeight="1" x14ac:dyDescent="0.3"/>
    <row r="59" ht="30" hidden="1" customHeight="1" x14ac:dyDescent="0.3"/>
    <row r="60" ht="30" hidden="1" customHeight="1" x14ac:dyDescent="0.3"/>
    <row r="61" ht="30" hidden="1" customHeight="1" x14ac:dyDescent="0.3"/>
    <row r="62" ht="30" hidden="1" customHeight="1" x14ac:dyDescent="0.3"/>
    <row r="63" ht="30" hidden="1" customHeight="1" x14ac:dyDescent="0.3"/>
    <row r="64" ht="30" hidden="1" customHeight="1" x14ac:dyDescent="0.3"/>
    <row r="65" ht="30" hidden="1" customHeight="1" x14ac:dyDescent="0.3"/>
    <row r="66" ht="30" hidden="1" customHeight="1" x14ac:dyDescent="0.3"/>
    <row r="67" ht="30" hidden="1" customHeight="1" x14ac:dyDescent="0.3"/>
    <row r="68" ht="30" hidden="1" customHeight="1" x14ac:dyDescent="0.3"/>
    <row r="69" ht="30" hidden="1" customHeight="1" x14ac:dyDescent="0.3"/>
    <row r="70" ht="30" hidden="1" customHeight="1" x14ac:dyDescent="0.3"/>
    <row r="71" ht="30" hidden="1" customHeight="1" x14ac:dyDescent="0.3"/>
    <row r="72" ht="30" hidden="1" customHeight="1" x14ac:dyDescent="0.3"/>
    <row r="73" ht="30" hidden="1" customHeight="1" x14ac:dyDescent="0.3"/>
    <row r="74" ht="30" hidden="1" customHeight="1" x14ac:dyDescent="0.3"/>
    <row r="75" ht="30" hidden="1" customHeight="1" x14ac:dyDescent="0.3"/>
    <row r="76" ht="30" hidden="1" customHeight="1" x14ac:dyDescent="0.3"/>
    <row r="77" ht="30" hidden="1" customHeight="1" x14ac:dyDescent="0.3"/>
    <row r="78" ht="30" hidden="1" customHeight="1" x14ac:dyDescent="0.3"/>
    <row r="79" ht="30" hidden="1" customHeight="1" x14ac:dyDescent="0.3"/>
    <row r="80" ht="30" hidden="1" customHeight="1" x14ac:dyDescent="0.3"/>
    <row r="81" ht="30" hidden="1" customHeight="1" x14ac:dyDescent="0.3"/>
    <row r="82" ht="30" hidden="1" customHeight="1" x14ac:dyDescent="0.3"/>
    <row r="83" ht="30" hidden="1" customHeight="1" x14ac:dyDescent="0.3"/>
    <row r="84" ht="30" hidden="1" customHeight="1" x14ac:dyDescent="0.3"/>
    <row r="85" ht="30" hidden="1" customHeight="1" x14ac:dyDescent="0.3"/>
    <row r="86" ht="30" hidden="1" customHeight="1" x14ac:dyDescent="0.3"/>
    <row r="87" ht="30" hidden="1" customHeight="1" x14ac:dyDescent="0.3"/>
    <row r="88" ht="30" hidden="1" customHeight="1" x14ac:dyDescent="0.3"/>
    <row r="89" ht="30" hidden="1" customHeight="1" x14ac:dyDescent="0.3"/>
    <row r="90" ht="30" hidden="1" customHeight="1" x14ac:dyDescent="0.3"/>
    <row r="91" ht="30" hidden="1" customHeight="1" x14ac:dyDescent="0.3"/>
    <row r="92" ht="30" hidden="1" customHeight="1" x14ac:dyDescent="0.3"/>
    <row r="93" ht="30" hidden="1" customHeight="1" x14ac:dyDescent="0.3"/>
    <row r="94" ht="30" hidden="1" customHeight="1" x14ac:dyDescent="0.3"/>
    <row r="95" ht="30" hidden="1" customHeight="1" x14ac:dyDescent="0.3"/>
    <row r="96" ht="30" hidden="1" customHeight="1" x14ac:dyDescent="0.3"/>
    <row r="97" ht="30" hidden="1" customHeight="1" x14ac:dyDescent="0.3"/>
    <row r="98" ht="30" hidden="1" customHeight="1" x14ac:dyDescent="0.3"/>
    <row r="99" ht="30" hidden="1" customHeight="1" x14ac:dyDescent="0.3"/>
    <row r="100" ht="30" hidden="1" customHeight="1" x14ac:dyDescent="0.3"/>
    <row r="101" ht="30" hidden="1" customHeight="1" x14ac:dyDescent="0.3"/>
    <row r="102" ht="30" hidden="1" customHeight="1" x14ac:dyDescent="0.3"/>
    <row r="103" ht="30" hidden="1" customHeight="1" x14ac:dyDescent="0.3"/>
    <row r="104" ht="30" hidden="1" customHeight="1" x14ac:dyDescent="0.3"/>
    <row r="105" ht="30" hidden="1" customHeight="1" x14ac:dyDescent="0.3"/>
    <row r="106" ht="30" hidden="1" customHeight="1" x14ac:dyDescent="0.3"/>
    <row r="107" ht="30" hidden="1" customHeight="1" x14ac:dyDescent="0.3"/>
  </sheetData>
  <sheetProtection algorithmName="SHA-512" hashValue="Z42nMRXbZkqu9yeNzzETqeU/MNybRtbvL60GnpwqNaGAiJ8bsC8K6uulCXVXyFJsZGUtX+jySiLLpsIUr0mH6w==" saltValue="3NGu0fLU91NSR9DSQTlf1w==" spinCount="100000" sheet="1" objects="1" scenarios="1" selectLockedCells="1" selectUnlockedCells="1"/>
  <mergeCells count="73">
    <mergeCell ref="P47:Z47"/>
    <mergeCell ref="B16:C16"/>
    <mergeCell ref="AF16:AG16"/>
    <mergeCell ref="B17:C17"/>
    <mergeCell ref="AF17:AG17"/>
    <mergeCell ref="B18:C18"/>
    <mergeCell ref="AF18:AG18"/>
    <mergeCell ref="A19:B19"/>
    <mergeCell ref="AE19:AF19"/>
    <mergeCell ref="A20:B20"/>
    <mergeCell ref="P46:Z46"/>
    <mergeCell ref="B13:C13"/>
    <mergeCell ref="AF13:AG13"/>
    <mergeCell ref="B14:C14"/>
    <mergeCell ref="AF14:AG14"/>
    <mergeCell ref="B15:C15"/>
    <mergeCell ref="AF15:AG15"/>
    <mergeCell ref="BF11:BG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T11:U11"/>
    <mergeCell ref="V11:W11"/>
    <mergeCell ref="X11:Y11"/>
    <mergeCell ref="Z11:AA11"/>
    <mergeCell ref="AB11:AC11"/>
    <mergeCell ref="AH11:AI11"/>
    <mergeCell ref="BD10:BE10"/>
    <mergeCell ref="BF10:BG10"/>
    <mergeCell ref="D11:E11"/>
    <mergeCell ref="F11:G11"/>
    <mergeCell ref="H11:I11"/>
    <mergeCell ref="J11:K11"/>
    <mergeCell ref="L11:M11"/>
    <mergeCell ref="N11:O11"/>
    <mergeCell ref="P11:Q11"/>
    <mergeCell ref="R11:S11"/>
    <mergeCell ref="AR10:AS10"/>
    <mergeCell ref="AT10:AU10"/>
    <mergeCell ref="AV10:AW10"/>
    <mergeCell ref="AX10:AY10"/>
    <mergeCell ref="AZ10:BA10"/>
    <mergeCell ref="BB10:BC10"/>
    <mergeCell ref="AB10:AC10"/>
    <mergeCell ref="AH10:AI10"/>
    <mergeCell ref="AJ10:AK10"/>
    <mergeCell ref="AL10:AM10"/>
    <mergeCell ref="AN10:AO10"/>
    <mergeCell ref="AP10:AQ10"/>
    <mergeCell ref="Z10:AA10"/>
    <mergeCell ref="D2:AB2"/>
    <mergeCell ref="AH2:BF2"/>
    <mergeCell ref="T3:AB3"/>
    <mergeCell ref="AX3:BF3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</mergeCells>
  <pageMargins left="0.57999999999999996" right="0.25" top="0.75" bottom="0.75" header="0.3" footer="0.3"/>
  <pageSetup scale="93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118"/>
  <sheetViews>
    <sheetView zoomScale="110" zoomScaleNormal="110" workbookViewId="0">
      <pane xSplit="2" ySplit="3" topLeftCell="C25" activePane="bottomRight" state="frozenSplit"/>
      <selection activeCell="B3" sqref="B3:AK37"/>
      <selection pane="topRight" activeCell="B3" sqref="B3:AK37"/>
      <selection pane="bottomLeft" activeCell="B3" sqref="B3:AK37"/>
      <selection pane="bottomRight" activeCell="O43" sqref="O43"/>
    </sheetView>
  </sheetViews>
  <sheetFormatPr defaultColWidth="0" defaultRowHeight="10" zeroHeight="1" x14ac:dyDescent="0.3"/>
  <cols>
    <col min="1" max="1" width="16" style="4" customWidth="1"/>
    <col min="2" max="2" width="2.4609375" style="4" bestFit="1" customWidth="1"/>
    <col min="3" max="3" width="15.84375" style="4" bestFit="1" customWidth="1"/>
    <col min="4" max="4" width="9.61328125" style="4" customWidth="1"/>
    <col min="5" max="5" width="13.4609375" style="4" bestFit="1" customWidth="1"/>
    <col min="6" max="6" width="11.15234375" style="4" customWidth="1"/>
    <col min="7" max="7" width="9" style="35" customWidth="1"/>
    <col min="8" max="8" width="9" style="34" customWidth="1"/>
    <col min="9" max="9" width="11.4609375" style="4" customWidth="1"/>
    <col min="10" max="10" width="9" style="35" customWidth="1"/>
    <col min="11" max="11" width="9" style="34" customWidth="1"/>
    <col min="12" max="12" width="10.765625" style="4" customWidth="1"/>
    <col min="13" max="13" width="9" style="35" customWidth="1"/>
    <col min="14" max="14" width="9" style="34" customWidth="1"/>
    <col min="15" max="19" width="9" style="4" customWidth="1"/>
    <col min="20" max="20" width="9.23046875" style="4" bestFit="1" customWidth="1"/>
    <col min="21" max="21" width="9" style="4" customWidth="1"/>
    <col min="22" max="16384" width="9" style="4" hidden="1"/>
  </cols>
  <sheetData>
    <row r="1" spans="1:20" s="5" customFormat="1" ht="60" x14ac:dyDescent="0.3">
      <c r="A1" s="145" t="s">
        <v>181</v>
      </c>
      <c r="B1" s="146"/>
      <c r="C1" s="146" t="s">
        <v>180</v>
      </c>
      <c r="D1" s="146" t="s">
        <v>40</v>
      </c>
      <c r="E1" s="146" t="s">
        <v>183</v>
      </c>
      <c r="F1" s="146" t="s">
        <v>41</v>
      </c>
      <c r="G1" s="147" t="s">
        <v>184</v>
      </c>
      <c r="H1" s="148" t="s">
        <v>42</v>
      </c>
      <c r="I1" s="146" t="s">
        <v>45</v>
      </c>
      <c r="J1" s="147" t="s">
        <v>185</v>
      </c>
      <c r="K1" s="148" t="s">
        <v>46</v>
      </c>
      <c r="L1" s="146" t="s">
        <v>47</v>
      </c>
      <c r="M1" s="147" t="s">
        <v>186</v>
      </c>
      <c r="N1" s="148" t="s">
        <v>48</v>
      </c>
      <c r="O1" s="146" t="s">
        <v>111</v>
      </c>
      <c r="P1" s="147" t="s">
        <v>187</v>
      </c>
      <c r="Q1" s="148" t="s">
        <v>115</v>
      </c>
      <c r="R1" s="148" t="s">
        <v>178</v>
      </c>
      <c r="S1" s="146" t="s">
        <v>175</v>
      </c>
      <c r="T1" s="146" t="s">
        <v>176</v>
      </c>
    </row>
    <row r="2" spans="1:20" s="5" customFormat="1" x14ac:dyDescent="0.3">
      <c r="A2" s="146"/>
      <c r="B2" s="146"/>
      <c r="C2" s="146"/>
      <c r="D2" s="146"/>
      <c r="E2" s="146" t="s">
        <v>88</v>
      </c>
      <c r="F2" s="149" t="s">
        <v>84</v>
      </c>
      <c r="G2" s="147"/>
      <c r="H2" s="148"/>
      <c r="I2" s="149" t="s">
        <v>85</v>
      </c>
      <c r="J2" s="147"/>
      <c r="K2" s="148"/>
      <c r="L2" s="149" t="s">
        <v>86</v>
      </c>
      <c r="M2" s="147"/>
      <c r="N2" s="148"/>
      <c r="O2" s="149" t="s">
        <v>112</v>
      </c>
      <c r="P2" s="147"/>
      <c r="Q2" s="148"/>
      <c r="R2" s="150" t="s">
        <v>179</v>
      </c>
      <c r="S2" s="146"/>
      <c r="T2" s="146"/>
    </row>
    <row r="3" spans="1:20" s="2" customFormat="1" ht="10.5" thickBot="1" x14ac:dyDescent="0.35">
      <c r="A3" s="316" t="s">
        <v>21</v>
      </c>
      <c r="B3" s="316"/>
      <c r="C3" s="151" t="s">
        <v>20</v>
      </c>
      <c r="D3" s="152" t="s">
        <v>39</v>
      </c>
      <c r="E3" s="151" t="s">
        <v>12</v>
      </c>
      <c r="F3" s="151" t="s">
        <v>13</v>
      </c>
      <c r="G3" s="153" t="s">
        <v>14</v>
      </c>
      <c r="H3" s="154" t="s">
        <v>15</v>
      </c>
      <c r="I3" s="151" t="s">
        <v>43</v>
      </c>
      <c r="J3" s="153" t="s">
        <v>16</v>
      </c>
      <c r="K3" s="154" t="s">
        <v>17</v>
      </c>
      <c r="L3" s="151" t="s">
        <v>44</v>
      </c>
      <c r="M3" s="153" t="s">
        <v>18</v>
      </c>
      <c r="N3" s="154" t="s">
        <v>19</v>
      </c>
      <c r="O3" s="151" t="s">
        <v>113</v>
      </c>
      <c r="P3" s="153" t="s">
        <v>114</v>
      </c>
      <c r="Q3" s="154" t="s">
        <v>116</v>
      </c>
      <c r="R3" s="154" t="s">
        <v>177</v>
      </c>
      <c r="S3" s="151" t="s">
        <v>173</v>
      </c>
      <c r="T3" s="151" t="s">
        <v>174</v>
      </c>
    </row>
    <row r="4" spans="1:20" x14ac:dyDescent="0.3">
      <c r="A4" s="155" t="s">
        <v>0</v>
      </c>
      <c r="B4" s="156">
        <v>8</v>
      </c>
      <c r="C4" s="157">
        <f t="shared" ref="C4:C42" si="0">C5*semitone</f>
        <v>4186.0090448095834</v>
      </c>
      <c r="D4" s="158">
        <f>cee</f>
        <v>8.0990000000000002</v>
      </c>
      <c r="E4" s="157">
        <f t="shared" ref="E4:E35" si="1">fundamental*(cent^offset)</f>
        <v>4205.6377667646711</v>
      </c>
      <c r="F4" s="159"/>
      <c r="G4" s="160"/>
      <c r="H4" s="161"/>
      <c r="I4" s="159"/>
      <c r="J4" s="160"/>
      <c r="K4" s="161"/>
      <c r="L4" s="157"/>
      <c r="M4" s="160"/>
      <c r="N4" s="161"/>
      <c r="O4" s="159"/>
      <c r="P4" s="159"/>
      <c r="Q4" s="159"/>
      <c r="R4" s="159"/>
      <c r="S4" s="159"/>
      <c r="T4" s="159"/>
    </row>
    <row r="5" spans="1:20" x14ac:dyDescent="0.3">
      <c r="A5" s="155" t="s">
        <v>1</v>
      </c>
      <c r="B5" s="156">
        <v>7</v>
      </c>
      <c r="C5" s="157">
        <f t="shared" si="0"/>
        <v>3951.066410048998</v>
      </c>
      <c r="D5" s="158">
        <f>bee</f>
        <v>-0.88800000000000001</v>
      </c>
      <c r="E5" s="157">
        <f t="shared" si="1"/>
        <v>3949.0403135138417</v>
      </c>
      <c r="F5" s="159"/>
      <c r="G5" s="160"/>
      <c r="H5" s="161"/>
      <c r="I5" s="159"/>
      <c r="J5" s="160"/>
      <c r="K5" s="161"/>
      <c r="L5" s="157"/>
      <c r="M5" s="160"/>
      <c r="N5" s="161"/>
      <c r="O5" s="159"/>
      <c r="P5" s="159"/>
      <c r="Q5" s="159"/>
      <c r="R5" s="159"/>
      <c r="S5" s="159"/>
      <c r="T5" s="159"/>
    </row>
    <row r="6" spans="1:20" x14ac:dyDescent="0.3">
      <c r="A6" s="155" t="s">
        <v>2</v>
      </c>
      <c r="B6" s="156">
        <v>7</v>
      </c>
      <c r="C6" s="157">
        <f t="shared" si="0"/>
        <v>3729.310092144724</v>
      </c>
      <c r="D6" s="158">
        <f>asharp</f>
        <v>4.2</v>
      </c>
      <c r="E6" s="157">
        <f t="shared" si="1"/>
        <v>3738.3684382596316</v>
      </c>
      <c r="F6" s="159"/>
      <c r="G6" s="160"/>
      <c r="H6" s="161"/>
      <c r="I6" s="159"/>
      <c r="J6" s="160"/>
      <c r="K6" s="161"/>
      <c r="L6" s="157"/>
      <c r="M6" s="160"/>
      <c r="N6" s="161"/>
      <c r="O6" s="159"/>
      <c r="P6" s="159"/>
      <c r="Q6" s="159"/>
      <c r="R6" s="159"/>
      <c r="S6" s="159"/>
      <c r="T6" s="159"/>
    </row>
    <row r="7" spans="1:20" x14ac:dyDescent="0.3">
      <c r="A7" s="155" t="s">
        <v>3</v>
      </c>
      <c r="B7" s="156">
        <v>7</v>
      </c>
      <c r="C7" s="157">
        <f t="shared" si="0"/>
        <v>3520.0000000000041</v>
      </c>
      <c r="D7" s="158">
        <f>aaa</f>
        <v>0</v>
      </c>
      <c r="E7" s="157">
        <f t="shared" si="1"/>
        <v>3520.0000000000041</v>
      </c>
      <c r="F7" s="159"/>
      <c r="G7" s="160"/>
      <c r="H7" s="161"/>
      <c r="I7" s="157">
        <f>(6/5)*E7</f>
        <v>4224.0000000000045</v>
      </c>
      <c r="J7" s="160">
        <f t="shared" ref="J7:J38" si="2">1200*(LOG($E4/I7)/LOG(octave))</f>
        <v>-7.5422870005525713</v>
      </c>
      <c r="K7" s="161">
        <f>5*$E4-6*$E7</f>
        <v>-91.811166176670667</v>
      </c>
      <c r="L7" s="157"/>
      <c r="M7" s="160"/>
      <c r="N7" s="161"/>
      <c r="O7" s="159"/>
      <c r="P7" s="159"/>
      <c r="Q7" s="159"/>
      <c r="R7" s="159"/>
      <c r="S7" s="159"/>
      <c r="T7" s="159"/>
    </row>
    <row r="8" spans="1:20" x14ac:dyDescent="0.3">
      <c r="A8" s="155" t="s">
        <v>4</v>
      </c>
      <c r="B8" s="156">
        <v>7</v>
      </c>
      <c r="C8" s="157">
        <f t="shared" si="0"/>
        <v>3322.4375806395647</v>
      </c>
      <c r="D8" s="158">
        <f>gsharp</f>
        <v>0.3</v>
      </c>
      <c r="E8" s="157">
        <f t="shared" si="1"/>
        <v>3323.0133650864464</v>
      </c>
      <c r="F8" s="157">
        <f t="shared" ref="F8:F71" si="3">E8*1.25</f>
        <v>4153.7667063580575</v>
      </c>
      <c r="G8" s="160">
        <f>1200*(LOG($E4/F8)/LOG(octave))</f>
        <v>21.485286135165317</v>
      </c>
      <c r="H8" s="161">
        <f>4*$E4-5*$E8</f>
        <v>207.4842416264546</v>
      </c>
      <c r="I8" s="157">
        <f t="shared" ref="I8:I71" si="4">(6/5)*E8</f>
        <v>3987.6160381037353</v>
      </c>
      <c r="J8" s="160">
        <f t="shared" si="2"/>
        <v>-16.829287000552224</v>
      </c>
      <c r="K8" s="161">
        <f t="shared" ref="K8:K71" si="5">5*$E5-6*$E8</f>
        <v>-192.87862294946899</v>
      </c>
      <c r="L8" s="157"/>
      <c r="M8" s="160"/>
      <c r="N8" s="161"/>
      <c r="O8" s="159"/>
      <c r="P8" s="159"/>
      <c r="Q8" s="159"/>
      <c r="R8" s="159"/>
      <c r="S8" s="159"/>
      <c r="T8" s="159"/>
    </row>
    <row r="9" spans="1:20" x14ac:dyDescent="0.3">
      <c r="A9" s="155" t="s">
        <v>5</v>
      </c>
      <c r="B9" s="156">
        <v>7</v>
      </c>
      <c r="C9" s="157">
        <f t="shared" si="0"/>
        <v>3135.9634878539978</v>
      </c>
      <c r="D9" s="158">
        <f>gee</f>
        <v>5.5</v>
      </c>
      <c r="E9" s="157">
        <f t="shared" si="1"/>
        <v>3145.9420495091217</v>
      </c>
      <c r="F9" s="157">
        <f t="shared" si="3"/>
        <v>3932.4275618864021</v>
      </c>
      <c r="G9" s="160">
        <f t="shared" ref="G9:G40" si="6">1200*(LOG(E5/F9)/LOG(octave))</f>
        <v>7.2982861351655677</v>
      </c>
      <c r="H9" s="161">
        <f t="shared" ref="H9:H72" si="7">4*E5-5*E9</f>
        <v>66.451006509758372</v>
      </c>
      <c r="I9" s="157">
        <f t="shared" si="4"/>
        <v>3775.1304594109461</v>
      </c>
      <c r="J9" s="160">
        <f t="shared" si="2"/>
        <v>-16.941287000552425</v>
      </c>
      <c r="K9" s="161">
        <f t="shared" si="5"/>
        <v>-183.81010575657274</v>
      </c>
      <c r="L9" s="157"/>
      <c r="M9" s="160"/>
      <c r="N9" s="161"/>
      <c r="O9" s="157">
        <f t="shared" ref="O9:O40" si="8">(4/3)*cfund</f>
        <v>4194.5893993454956</v>
      </c>
      <c r="P9" s="160">
        <f t="shared" ref="P9:P40" si="9">1200*(LOG($E4/O9)/LOG(octave))</f>
        <v>4.5540008653874011</v>
      </c>
      <c r="Q9" s="161">
        <f>3*$E4-4*$E9</f>
        <v>33.145102257527469</v>
      </c>
      <c r="R9" s="161"/>
      <c r="S9" s="159"/>
      <c r="T9" s="159"/>
    </row>
    <row r="10" spans="1:20" x14ac:dyDescent="0.3">
      <c r="A10" s="155" t="s">
        <v>6</v>
      </c>
      <c r="B10" s="156">
        <v>7</v>
      </c>
      <c r="C10" s="157">
        <f t="shared" si="0"/>
        <v>2959.9553816930784</v>
      </c>
      <c r="D10" s="158">
        <f>fsharp</f>
        <v>-3.6309999999999998</v>
      </c>
      <c r="E10" s="157">
        <f t="shared" si="1"/>
        <v>2953.7538313328637</v>
      </c>
      <c r="F10" s="157">
        <f t="shared" si="3"/>
        <v>3692.1922891660797</v>
      </c>
      <c r="G10" s="160">
        <f t="shared" si="6"/>
        <v>21.517286135165563</v>
      </c>
      <c r="H10" s="161">
        <f t="shared" si="7"/>
        <v>184.70459637420754</v>
      </c>
      <c r="I10" s="157">
        <f t="shared" si="4"/>
        <v>3544.5045975994362</v>
      </c>
      <c r="J10" s="160">
        <f t="shared" si="2"/>
        <v>-12.010287000552198</v>
      </c>
      <c r="K10" s="161">
        <f t="shared" si="5"/>
        <v>-122.52298799715936</v>
      </c>
      <c r="L10" s="157"/>
      <c r="M10" s="160"/>
      <c r="N10" s="161"/>
      <c r="O10" s="157">
        <f t="shared" si="8"/>
        <v>3938.3384417771513</v>
      </c>
      <c r="P10" s="160">
        <f t="shared" si="9"/>
        <v>4.6980008653878071</v>
      </c>
      <c r="Q10" s="161">
        <f t="shared" ref="Q10:Q73" si="10">3*$E5-4*$E10</f>
        <v>32.105615210070027</v>
      </c>
      <c r="R10" s="161"/>
      <c r="S10" s="159"/>
      <c r="T10" s="159"/>
    </row>
    <row r="11" spans="1:20" x14ac:dyDescent="0.3">
      <c r="A11" s="155" t="s">
        <v>7</v>
      </c>
      <c r="B11" s="156">
        <v>7</v>
      </c>
      <c r="C11" s="157">
        <f t="shared" si="0"/>
        <v>2793.8258514640338</v>
      </c>
      <c r="D11" s="158">
        <f>eff</f>
        <v>6.1</v>
      </c>
      <c r="E11" s="157">
        <f t="shared" si="1"/>
        <v>2803.6872548488545</v>
      </c>
      <c r="F11" s="157">
        <f t="shared" si="3"/>
        <v>3504.6090685610679</v>
      </c>
      <c r="G11" s="160">
        <f t="shared" si="6"/>
        <v>7.586286135165941</v>
      </c>
      <c r="H11" s="161">
        <f t="shared" si="7"/>
        <v>61.563725755744599</v>
      </c>
      <c r="I11" s="157">
        <f t="shared" si="4"/>
        <v>3364.4247058186252</v>
      </c>
      <c r="J11" s="160">
        <f t="shared" si="2"/>
        <v>-21.441287000552116</v>
      </c>
      <c r="K11" s="161">
        <f t="shared" si="5"/>
        <v>-207.05670366089907</v>
      </c>
      <c r="L11" s="157">
        <f>(3/2)*E11</f>
        <v>4205.5308822732823</v>
      </c>
      <c r="M11" s="160">
        <f t="shared" ref="M11:M42" si="11">1200*(LOG($E4/L11)/LOG(octave))</f>
        <v>4.3999134612878354E-2</v>
      </c>
      <c r="N11" s="161">
        <f>2*$E4-3*$E11</f>
        <v>0.2137689827777649</v>
      </c>
      <c r="O11" s="157">
        <f t="shared" si="8"/>
        <v>3738.249673131806</v>
      </c>
      <c r="P11" s="160">
        <f t="shared" si="9"/>
        <v>5.5000865387819953E-2</v>
      </c>
      <c r="Q11" s="161">
        <f t="shared" si="10"/>
        <v>0.35629538347711787</v>
      </c>
      <c r="R11" s="161"/>
      <c r="S11" s="159"/>
      <c r="T11" s="159"/>
    </row>
    <row r="12" spans="1:20" x14ac:dyDescent="0.3">
      <c r="A12" s="155" t="s">
        <v>8</v>
      </c>
      <c r="B12" s="156">
        <v>7</v>
      </c>
      <c r="C12" s="157">
        <f t="shared" si="0"/>
        <v>2637.0204553029621</v>
      </c>
      <c r="D12" s="158">
        <f>eee</f>
        <v>-2.843</v>
      </c>
      <c r="E12" s="157">
        <f t="shared" si="1"/>
        <v>2632.6935436585586</v>
      </c>
      <c r="F12" s="157">
        <f t="shared" si="3"/>
        <v>3290.8669295731984</v>
      </c>
      <c r="G12" s="160">
        <f t="shared" si="6"/>
        <v>16.829286135165063</v>
      </c>
      <c r="H12" s="161">
        <f t="shared" si="7"/>
        <v>128.58574205299192</v>
      </c>
      <c r="I12" s="157">
        <f t="shared" si="4"/>
        <v>3159.2322523902703</v>
      </c>
      <c r="J12" s="160">
        <f t="shared" si="2"/>
        <v>-7.2982870005527714</v>
      </c>
      <c r="K12" s="161">
        <f t="shared" si="5"/>
        <v>-66.451014405742171</v>
      </c>
      <c r="L12" s="157">
        <f t="shared" ref="L12:L75" si="12">(3/2)*E12</f>
        <v>3949.0403154878377</v>
      </c>
      <c r="M12" s="160">
        <f t="shared" si="11"/>
        <v>-8.6538721848522665E-7</v>
      </c>
      <c r="N12" s="161">
        <f>2*$E5-3*$E12</f>
        <v>-3.9479918996221386E-6</v>
      </c>
      <c r="O12" s="157">
        <f t="shared" si="8"/>
        <v>3510.2580582114115</v>
      </c>
      <c r="P12" s="160">
        <f t="shared" si="9"/>
        <v>4.7980008653876078</v>
      </c>
      <c r="Q12" s="161">
        <f t="shared" si="10"/>
        <v>29.225825365778292</v>
      </c>
      <c r="R12" s="161"/>
      <c r="S12" s="159"/>
      <c r="T12" s="159"/>
    </row>
    <row r="13" spans="1:20" x14ac:dyDescent="0.3">
      <c r="A13" s="155" t="s">
        <v>9</v>
      </c>
      <c r="B13" s="156">
        <v>7</v>
      </c>
      <c r="C13" s="157">
        <f t="shared" si="0"/>
        <v>2489.0158697766497</v>
      </c>
      <c r="D13" s="158">
        <f>dsharp</f>
        <v>2.2000000000000002</v>
      </c>
      <c r="E13" s="157">
        <f t="shared" si="1"/>
        <v>2492.1808466055281</v>
      </c>
      <c r="F13" s="157">
        <f t="shared" si="3"/>
        <v>3115.2260582569102</v>
      </c>
      <c r="G13" s="160">
        <f t="shared" si="6"/>
        <v>16.986286135165365</v>
      </c>
      <c r="H13" s="161">
        <f t="shared" si="7"/>
        <v>122.86396500884621</v>
      </c>
      <c r="I13" s="157">
        <f t="shared" si="4"/>
        <v>2990.6170159266335</v>
      </c>
      <c r="J13" s="160">
        <f t="shared" si="2"/>
        <v>-21.472287000552463</v>
      </c>
      <c r="K13" s="161">
        <f t="shared" si="5"/>
        <v>-184.31592296884992</v>
      </c>
      <c r="L13" s="157">
        <f t="shared" si="12"/>
        <v>3738.2712699082922</v>
      </c>
      <c r="M13" s="160">
        <f t="shared" si="11"/>
        <v>4.4999134612723299E-2</v>
      </c>
      <c r="N13" s="161">
        <f t="shared" ref="N13:N75" si="13">2*$E6-3*$E13</f>
        <v>0.19433670267881098</v>
      </c>
      <c r="O13" s="157">
        <f t="shared" si="8"/>
        <v>3322.9077954740374</v>
      </c>
      <c r="P13" s="160">
        <f t="shared" si="9"/>
        <v>5.5000865387819953E-2</v>
      </c>
      <c r="Q13" s="161">
        <f t="shared" si="10"/>
        <v>0.31670883722654253</v>
      </c>
      <c r="R13" s="161">
        <f>(5/3)*E13</f>
        <v>4153.6347443425475</v>
      </c>
      <c r="S13" s="160">
        <f t="shared" ref="S13:S44" si="14">1200*(LOG($E4/R13)/LOG(octave))</f>
        <v>21.540287000552304</v>
      </c>
      <c r="T13" s="161">
        <f>3*$E4-5*$E13</f>
        <v>156.00906726637368</v>
      </c>
    </row>
    <row r="14" spans="1:20" x14ac:dyDescent="0.3">
      <c r="A14" s="155" t="s">
        <v>10</v>
      </c>
      <c r="B14" s="156">
        <v>7</v>
      </c>
      <c r="C14" s="157">
        <f t="shared" si="0"/>
        <v>2349.3181433392624</v>
      </c>
      <c r="D14" s="158">
        <f>dee</f>
        <v>2.8</v>
      </c>
      <c r="E14" s="157">
        <f t="shared" si="1"/>
        <v>2353.1208719130377</v>
      </c>
      <c r="F14" s="157">
        <f t="shared" si="3"/>
        <v>2941.401089891297</v>
      </c>
      <c r="G14" s="160">
        <f t="shared" si="6"/>
        <v>7.255286135165794</v>
      </c>
      <c r="H14" s="161">
        <f t="shared" si="7"/>
        <v>49.4109657662666</v>
      </c>
      <c r="I14" s="157">
        <f t="shared" si="4"/>
        <v>2823.7450462956454</v>
      </c>
      <c r="J14" s="160">
        <f t="shared" si="2"/>
        <v>-12.341287000552535</v>
      </c>
      <c r="K14" s="161">
        <f t="shared" si="5"/>
        <v>-100.28895723395544</v>
      </c>
      <c r="L14" s="157">
        <f t="shared" si="12"/>
        <v>3529.6813078695568</v>
      </c>
      <c r="M14" s="160">
        <f t="shared" si="11"/>
        <v>-4.7550008653868998</v>
      </c>
      <c r="N14" s="161">
        <f t="shared" si="13"/>
        <v>-19.362615739105422</v>
      </c>
      <c r="O14" s="157">
        <f t="shared" si="8"/>
        <v>3137.4944958840501</v>
      </c>
      <c r="P14" s="160">
        <f t="shared" si="9"/>
        <v>4.6550008653877919</v>
      </c>
      <c r="Q14" s="161">
        <f t="shared" si="10"/>
        <v>25.342660875214278</v>
      </c>
      <c r="R14" s="161">
        <f t="shared" ref="R14:R52" si="15">(5/3)*E14</f>
        <v>3921.868119855063</v>
      </c>
      <c r="S14" s="160">
        <f t="shared" si="14"/>
        <v>11.953287000553207</v>
      </c>
      <c r="T14" s="161">
        <f t="shared" ref="T14:T52" si="16">3*$E5-5*$E14</f>
        <v>81.516580976336627</v>
      </c>
    </row>
    <row r="15" spans="1:20" x14ac:dyDescent="0.3">
      <c r="A15" s="155" t="s">
        <v>11</v>
      </c>
      <c r="B15" s="156">
        <v>7</v>
      </c>
      <c r="C15" s="157">
        <f t="shared" si="0"/>
        <v>2217.4610478149784</v>
      </c>
      <c r="D15" s="158">
        <f>csharp</f>
        <v>-1.6759999999999999</v>
      </c>
      <c r="E15" s="157">
        <f t="shared" si="1"/>
        <v>2215.3153723922833</v>
      </c>
      <c r="F15" s="157">
        <f t="shared" si="3"/>
        <v>2769.1442154903543</v>
      </c>
      <c r="G15" s="160">
        <f t="shared" si="6"/>
        <v>21.462286135165247</v>
      </c>
      <c r="H15" s="161">
        <f t="shared" si="7"/>
        <v>138.17215743400084</v>
      </c>
      <c r="I15" s="157">
        <f t="shared" si="4"/>
        <v>2658.3784468707399</v>
      </c>
      <c r="J15" s="160">
        <f t="shared" si="2"/>
        <v>-16.808287000551882</v>
      </c>
      <c r="K15" s="161">
        <f t="shared" si="5"/>
        <v>-128.42451606090617</v>
      </c>
      <c r="L15" s="157">
        <f t="shared" si="12"/>
        <v>3322.9730585884249</v>
      </c>
      <c r="M15" s="160">
        <f t="shared" si="11"/>
        <v>2.0999134613374878E-2</v>
      </c>
      <c r="N15" s="161">
        <f t="shared" si="13"/>
        <v>8.0612996042873419E-2</v>
      </c>
      <c r="O15" s="157">
        <f t="shared" si="8"/>
        <v>2953.7538298563777</v>
      </c>
      <c r="P15" s="160">
        <f t="shared" si="9"/>
        <v>8.6538798687500838E-7</v>
      </c>
      <c r="Q15" s="161">
        <f t="shared" si="10"/>
        <v>4.429457476362586E-6</v>
      </c>
      <c r="R15" s="161">
        <f t="shared" si="15"/>
        <v>3692.1922873204721</v>
      </c>
      <c r="S15" s="160">
        <f t="shared" si="14"/>
        <v>21.517287000553349</v>
      </c>
      <c r="T15" s="161">
        <f t="shared" si="16"/>
        <v>138.52845281747796</v>
      </c>
    </row>
    <row r="16" spans="1:20" x14ac:dyDescent="0.3">
      <c r="A16" s="155" t="s">
        <v>0</v>
      </c>
      <c r="B16" s="156">
        <v>7</v>
      </c>
      <c r="C16" s="157">
        <f t="shared" si="0"/>
        <v>2093.0045224047904</v>
      </c>
      <c r="D16" s="158">
        <f>D4</f>
        <v>8.0990000000000002</v>
      </c>
      <c r="E16" s="157">
        <f t="shared" si="1"/>
        <v>2102.8188833823342</v>
      </c>
      <c r="F16" s="157">
        <f t="shared" si="3"/>
        <v>2628.5236042279175</v>
      </c>
      <c r="G16" s="160">
        <f t="shared" si="6"/>
        <v>2.7442861351663637</v>
      </c>
      <c r="H16" s="161">
        <f t="shared" si="7"/>
        <v>16.679757722564318</v>
      </c>
      <c r="I16" s="157">
        <f t="shared" si="4"/>
        <v>2523.3826600588009</v>
      </c>
      <c r="J16" s="160">
        <f t="shared" si="2"/>
        <v>-21.540287000551533</v>
      </c>
      <c r="K16" s="161">
        <f t="shared" si="5"/>
        <v>-156.00906726636458</v>
      </c>
      <c r="L16" s="157">
        <f t="shared" si="12"/>
        <v>3154.2283250735013</v>
      </c>
      <c r="M16" s="160">
        <f t="shared" si="11"/>
        <v>-4.5540008653862598</v>
      </c>
      <c r="N16" s="161">
        <f t="shared" si="13"/>
        <v>-16.572551128759187</v>
      </c>
      <c r="O16" s="157">
        <f t="shared" si="8"/>
        <v>2803.7585111764456</v>
      </c>
      <c r="P16" s="160">
        <f t="shared" si="9"/>
        <v>-4.3999134611708568E-2</v>
      </c>
      <c r="Q16" s="161">
        <f t="shared" si="10"/>
        <v>-0.21376898277230794</v>
      </c>
      <c r="R16" s="161">
        <f t="shared" si="15"/>
        <v>3504.698138970557</v>
      </c>
      <c r="S16" s="160">
        <f t="shared" si="14"/>
        <v>7.5422870005538876</v>
      </c>
      <c r="T16" s="161">
        <f t="shared" si="16"/>
        <v>45.90558308834261</v>
      </c>
    </row>
    <row r="17" spans="1:20" x14ac:dyDescent="0.3">
      <c r="A17" s="155" t="s">
        <v>1</v>
      </c>
      <c r="B17" s="156">
        <v>6</v>
      </c>
      <c r="C17" s="157">
        <f t="shared" si="0"/>
        <v>1975.5332050244976</v>
      </c>
      <c r="D17" s="158">
        <f t="shared" ref="D17:D80" si="17">D5</f>
        <v>-0.88800000000000001</v>
      </c>
      <c r="E17" s="157">
        <f t="shared" si="1"/>
        <v>1974.5201567569195</v>
      </c>
      <c r="F17" s="157">
        <f t="shared" si="3"/>
        <v>2468.1501959461493</v>
      </c>
      <c r="G17" s="160">
        <f t="shared" si="6"/>
        <v>16.774286135165937</v>
      </c>
      <c r="H17" s="161">
        <f t="shared" si="7"/>
        <v>96.122602637515229</v>
      </c>
      <c r="I17" s="157">
        <f t="shared" si="4"/>
        <v>2369.4241881083035</v>
      </c>
      <c r="J17" s="160">
        <f t="shared" si="2"/>
        <v>-11.953287000552114</v>
      </c>
      <c r="K17" s="161">
        <f t="shared" si="5"/>
        <v>-81.516580976329351</v>
      </c>
      <c r="L17" s="157">
        <f t="shared" si="12"/>
        <v>2961.7802351353794</v>
      </c>
      <c r="M17" s="160">
        <f t="shared" si="11"/>
        <v>-4.6980008653866063</v>
      </c>
      <c r="N17" s="161">
        <f t="shared" si="13"/>
        <v>-16.052807605031376</v>
      </c>
      <c r="O17" s="157">
        <f t="shared" si="8"/>
        <v>2632.6935423425593</v>
      </c>
      <c r="P17" s="160">
        <f t="shared" si="9"/>
        <v>8.6538837128618868E-7</v>
      </c>
      <c r="Q17" s="161">
        <f t="shared" si="10"/>
        <v>3.9479973565903492E-6</v>
      </c>
      <c r="R17" s="161">
        <f t="shared" si="15"/>
        <v>3290.8669279281994</v>
      </c>
      <c r="S17" s="160">
        <f t="shared" si="14"/>
        <v>16.829287000553574</v>
      </c>
      <c r="T17" s="161">
        <f t="shared" si="16"/>
        <v>96.439311474741771</v>
      </c>
    </row>
    <row r="18" spans="1:20" x14ac:dyDescent="0.3">
      <c r="A18" s="155" t="s">
        <v>2</v>
      </c>
      <c r="B18" s="156">
        <v>6</v>
      </c>
      <c r="C18" s="157">
        <f t="shared" si="0"/>
        <v>1864.6550460723606</v>
      </c>
      <c r="D18" s="158">
        <f t="shared" si="17"/>
        <v>4.2</v>
      </c>
      <c r="E18" s="157">
        <f t="shared" si="1"/>
        <v>1869.1842191298144</v>
      </c>
      <c r="F18" s="157">
        <f t="shared" si="3"/>
        <v>2336.4802739122679</v>
      </c>
      <c r="G18" s="160">
        <f t="shared" si="6"/>
        <v>12.28628613516603</v>
      </c>
      <c r="H18" s="161">
        <f t="shared" si="7"/>
        <v>66.562392003079367</v>
      </c>
      <c r="I18" s="157">
        <f t="shared" si="4"/>
        <v>2243.0210629557773</v>
      </c>
      <c r="J18" s="160">
        <f t="shared" si="2"/>
        <v>-21.517287000552081</v>
      </c>
      <c r="K18" s="161">
        <f t="shared" si="5"/>
        <v>-138.52845281746886</v>
      </c>
      <c r="L18" s="157">
        <f t="shared" si="12"/>
        <v>2803.7763286947215</v>
      </c>
      <c r="M18" s="160">
        <f t="shared" si="11"/>
        <v>-5.5000865386469318E-2</v>
      </c>
      <c r="N18" s="161">
        <f t="shared" si="13"/>
        <v>-0.17814769173401146</v>
      </c>
      <c r="O18" s="157">
        <f t="shared" si="8"/>
        <v>2492.2456255064189</v>
      </c>
      <c r="P18" s="160">
        <f t="shared" si="9"/>
        <v>-4.4999134611470287E-2</v>
      </c>
      <c r="Q18" s="161">
        <f t="shared" si="10"/>
        <v>-0.19433670267335401</v>
      </c>
      <c r="R18" s="161">
        <f t="shared" si="15"/>
        <v>3115.3070318830241</v>
      </c>
      <c r="S18" s="160">
        <f t="shared" si="14"/>
        <v>16.941287000553519</v>
      </c>
      <c r="T18" s="161">
        <f t="shared" si="16"/>
        <v>91.905052878293645</v>
      </c>
    </row>
    <row r="19" spans="1:20" x14ac:dyDescent="0.3">
      <c r="A19" s="155" t="s">
        <v>3</v>
      </c>
      <c r="B19" s="156">
        <v>6</v>
      </c>
      <c r="C19" s="157">
        <f t="shared" si="0"/>
        <v>1760.0000000000009</v>
      </c>
      <c r="D19" s="158">
        <f t="shared" si="17"/>
        <v>0</v>
      </c>
      <c r="E19" s="157">
        <f t="shared" si="1"/>
        <v>1760.0000000000009</v>
      </c>
      <c r="F19" s="157">
        <f t="shared" si="3"/>
        <v>2200.0000000000009</v>
      </c>
      <c r="G19" s="160">
        <f t="shared" si="6"/>
        <v>12.010286135165877</v>
      </c>
      <c r="H19" s="161">
        <f t="shared" si="7"/>
        <v>61.261489569129481</v>
      </c>
      <c r="I19" s="157">
        <f t="shared" si="4"/>
        <v>2112.0000000000009</v>
      </c>
      <c r="J19" s="160">
        <f t="shared" si="2"/>
        <v>-7.5422870005525713</v>
      </c>
      <c r="K19" s="161">
        <f t="shared" si="5"/>
        <v>-45.905583088335334</v>
      </c>
      <c r="L19" s="157">
        <f t="shared" si="12"/>
        <v>2640.0000000000014</v>
      </c>
      <c r="M19" s="160">
        <f t="shared" si="11"/>
        <v>-4.7980008653862924</v>
      </c>
      <c r="N19" s="161">
        <f t="shared" si="13"/>
        <v>-14.612912682885508</v>
      </c>
      <c r="O19" s="157">
        <f t="shared" si="8"/>
        <v>2346.6666666666679</v>
      </c>
      <c r="P19" s="160">
        <f t="shared" si="9"/>
        <v>4.7550008653879354</v>
      </c>
      <c r="Q19" s="161">
        <f t="shared" si="10"/>
        <v>19.36261573910997</v>
      </c>
      <c r="R19" s="161">
        <f t="shared" si="15"/>
        <v>2933.3333333333348</v>
      </c>
      <c r="S19" s="160">
        <f t="shared" si="14"/>
        <v>12.010287000553546</v>
      </c>
      <c r="T19" s="161">
        <f t="shared" si="16"/>
        <v>61.261493998586957</v>
      </c>
    </row>
    <row r="20" spans="1:20" x14ac:dyDescent="0.3">
      <c r="A20" s="155" t="s">
        <v>4</v>
      </c>
      <c r="B20" s="156">
        <v>6</v>
      </c>
      <c r="C20" s="157">
        <f t="shared" si="0"/>
        <v>1661.2187903197814</v>
      </c>
      <c r="D20" s="158">
        <f t="shared" si="17"/>
        <v>0.3</v>
      </c>
      <c r="E20" s="157">
        <f t="shared" si="1"/>
        <v>1661.5066825432223</v>
      </c>
      <c r="F20" s="157">
        <f t="shared" si="3"/>
        <v>2076.8833531790278</v>
      </c>
      <c r="G20" s="160">
        <f t="shared" si="6"/>
        <v>21.485286135164934</v>
      </c>
      <c r="H20" s="161">
        <f t="shared" si="7"/>
        <v>103.74212081322548</v>
      </c>
      <c r="I20" s="157">
        <f t="shared" si="4"/>
        <v>1993.8080190518667</v>
      </c>
      <c r="J20" s="160">
        <f t="shared" si="2"/>
        <v>-16.829287000552611</v>
      </c>
      <c r="K20" s="161">
        <f t="shared" si="5"/>
        <v>-96.439311474736314</v>
      </c>
      <c r="L20" s="157">
        <f t="shared" si="12"/>
        <v>2492.2600238148334</v>
      </c>
      <c r="M20" s="160">
        <f t="shared" si="11"/>
        <v>-5.5000865386661532E-2</v>
      </c>
      <c r="N20" s="161">
        <f t="shared" si="13"/>
        <v>-0.15835441861054278</v>
      </c>
      <c r="O20" s="157">
        <f t="shared" si="8"/>
        <v>2215.3422433909627</v>
      </c>
      <c r="P20" s="160">
        <f t="shared" si="9"/>
        <v>-2.0999134611968336E-2</v>
      </c>
      <c r="Q20" s="161">
        <f t="shared" si="10"/>
        <v>-8.0612996039235441E-2</v>
      </c>
      <c r="R20" s="161">
        <f t="shared" si="15"/>
        <v>2769.1778042387041</v>
      </c>
      <c r="S20" s="160">
        <f t="shared" si="14"/>
        <v>21.441287000552972</v>
      </c>
      <c r="T20" s="161">
        <f t="shared" si="16"/>
        <v>103.52835183045318</v>
      </c>
    </row>
    <row r="21" spans="1:20" x14ac:dyDescent="0.3">
      <c r="A21" s="155" t="s">
        <v>5</v>
      </c>
      <c r="B21" s="156">
        <v>6</v>
      </c>
      <c r="C21" s="157">
        <f t="shared" si="0"/>
        <v>1567.981743926998</v>
      </c>
      <c r="D21" s="158">
        <f t="shared" si="17"/>
        <v>5.5</v>
      </c>
      <c r="E21" s="157">
        <f t="shared" si="1"/>
        <v>1572.9710247545599</v>
      </c>
      <c r="F21" s="157">
        <f t="shared" si="3"/>
        <v>1966.2137809431999</v>
      </c>
      <c r="G21" s="160">
        <f t="shared" si="6"/>
        <v>7.2982861351651849</v>
      </c>
      <c r="H21" s="161">
        <f t="shared" si="7"/>
        <v>33.225503254878276</v>
      </c>
      <c r="I21" s="157">
        <f t="shared" si="4"/>
        <v>1887.5652297054719</v>
      </c>
      <c r="J21" s="160">
        <f t="shared" si="2"/>
        <v>-16.941287000552617</v>
      </c>
      <c r="K21" s="161">
        <f t="shared" si="5"/>
        <v>-91.905052878288188</v>
      </c>
      <c r="L21" s="157">
        <f t="shared" si="12"/>
        <v>2359.4565371318399</v>
      </c>
      <c r="M21" s="160">
        <f t="shared" si="11"/>
        <v>-4.6550008653869011</v>
      </c>
      <c r="N21" s="161">
        <f t="shared" si="13"/>
        <v>-12.671330437604411</v>
      </c>
      <c r="O21" s="157">
        <f t="shared" si="8"/>
        <v>2097.2946996727464</v>
      </c>
      <c r="P21" s="160">
        <f t="shared" si="9"/>
        <v>4.5540008653874011</v>
      </c>
      <c r="Q21" s="161">
        <f t="shared" si="10"/>
        <v>16.572551128762825</v>
      </c>
      <c r="R21" s="161">
        <f t="shared" si="15"/>
        <v>2621.6183745909334</v>
      </c>
      <c r="S21" s="160">
        <f t="shared" si="14"/>
        <v>7.2982870005538114</v>
      </c>
      <c r="T21" s="161">
        <f t="shared" si="16"/>
        <v>33.225507202875633</v>
      </c>
    </row>
    <row r="22" spans="1:20" x14ac:dyDescent="0.3">
      <c r="A22" s="155" t="s">
        <v>6</v>
      </c>
      <c r="B22" s="156">
        <v>6</v>
      </c>
      <c r="C22" s="157">
        <f t="shared" si="0"/>
        <v>1479.9776908465383</v>
      </c>
      <c r="D22" s="158">
        <f t="shared" si="17"/>
        <v>-3.6309999999999998</v>
      </c>
      <c r="E22" s="157">
        <f t="shared" si="1"/>
        <v>1476.8769156664309</v>
      </c>
      <c r="F22" s="157">
        <f t="shared" si="3"/>
        <v>1846.0961445830387</v>
      </c>
      <c r="G22" s="160">
        <f t="shared" si="6"/>
        <v>21.517286135165179</v>
      </c>
      <c r="H22" s="161">
        <f t="shared" si="7"/>
        <v>92.352298187102861</v>
      </c>
      <c r="I22" s="157">
        <f t="shared" si="4"/>
        <v>1772.252298799717</v>
      </c>
      <c r="J22" s="160">
        <f t="shared" si="2"/>
        <v>-12.010287000552198</v>
      </c>
      <c r="K22" s="161">
        <f t="shared" si="5"/>
        <v>-61.2614939985815</v>
      </c>
      <c r="L22" s="157">
        <f t="shared" si="12"/>
        <v>2215.3153734996463</v>
      </c>
      <c r="M22" s="160">
        <f t="shared" si="11"/>
        <v>-8.6538664186845572E-7</v>
      </c>
      <c r="N22" s="161">
        <f t="shared" si="13"/>
        <v>-2.2147260096971877E-6</v>
      </c>
      <c r="O22" s="157">
        <f t="shared" si="8"/>
        <v>1969.1692208885745</v>
      </c>
      <c r="P22" s="160">
        <f t="shared" si="9"/>
        <v>4.6980008653878071</v>
      </c>
      <c r="Q22" s="161">
        <f t="shared" si="10"/>
        <v>16.052807605035014</v>
      </c>
      <c r="R22" s="161">
        <f t="shared" si="15"/>
        <v>2461.4615261107183</v>
      </c>
      <c r="S22" s="160">
        <f t="shared" si="14"/>
        <v>21.472287000553695</v>
      </c>
      <c r="T22" s="161">
        <f t="shared" si="16"/>
        <v>92.157961484429507</v>
      </c>
    </row>
    <row r="23" spans="1:20" x14ac:dyDescent="0.3">
      <c r="A23" s="155" t="s">
        <v>7</v>
      </c>
      <c r="B23" s="156">
        <v>6</v>
      </c>
      <c r="C23" s="157">
        <f t="shared" si="0"/>
        <v>1396.9129257320162</v>
      </c>
      <c r="D23" s="158">
        <f t="shared" si="17"/>
        <v>6.1</v>
      </c>
      <c r="E23" s="157">
        <f t="shared" si="1"/>
        <v>1401.8436274244266</v>
      </c>
      <c r="F23" s="157">
        <f t="shared" si="3"/>
        <v>1752.3045342805333</v>
      </c>
      <c r="G23" s="160">
        <f t="shared" si="6"/>
        <v>7.5862861351651762</v>
      </c>
      <c r="H23" s="161">
        <f t="shared" si="7"/>
        <v>30.781862877870481</v>
      </c>
      <c r="I23" s="157">
        <f t="shared" si="4"/>
        <v>1682.2123529093119</v>
      </c>
      <c r="J23" s="160">
        <f t="shared" si="2"/>
        <v>-21.441287000552315</v>
      </c>
      <c r="K23" s="161">
        <f t="shared" si="5"/>
        <v>-103.52835183044772</v>
      </c>
      <c r="L23" s="157">
        <f t="shared" si="12"/>
        <v>2102.7654411366398</v>
      </c>
      <c r="M23" s="160">
        <f t="shared" si="11"/>
        <v>4.3999134612878354E-2</v>
      </c>
      <c r="N23" s="161">
        <f t="shared" si="13"/>
        <v>0.10688449138888245</v>
      </c>
      <c r="O23" s="157">
        <f t="shared" si="8"/>
        <v>1869.1248365659021</v>
      </c>
      <c r="P23" s="160">
        <f t="shared" si="9"/>
        <v>5.5000865387435545E-2</v>
      </c>
      <c r="Q23" s="161">
        <f t="shared" si="10"/>
        <v>0.17814769173673994</v>
      </c>
      <c r="R23" s="161">
        <f t="shared" si="15"/>
        <v>2336.4060457073779</v>
      </c>
      <c r="S23" s="160">
        <f t="shared" si="14"/>
        <v>12.341287000553264</v>
      </c>
      <c r="T23" s="161">
        <f t="shared" si="16"/>
        <v>50.14447861698045</v>
      </c>
    </row>
    <row r="24" spans="1:20" x14ac:dyDescent="0.3">
      <c r="A24" s="155" t="s">
        <v>8</v>
      </c>
      <c r="B24" s="156">
        <v>6</v>
      </c>
      <c r="C24" s="157">
        <f t="shared" si="0"/>
        <v>1318.5102276514804</v>
      </c>
      <c r="D24" s="158">
        <f t="shared" si="17"/>
        <v>-2.843</v>
      </c>
      <c r="E24" s="157">
        <f t="shared" si="1"/>
        <v>1316.3467718292786</v>
      </c>
      <c r="F24" s="157">
        <f t="shared" si="3"/>
        <v>1645.4334647865983</v>
      </c>
      <c r="G24" s="160">
        <f t="shared" si="6"/>
        <v>16.829286135165063</v>
      </c>
      <c r="H24" s="161">
        <f t="shared" si="7"/>
        <v>64.292871026495959</v>
      </c>
      <c r="I24" s="157">
        <f t="shared" si="4"/>
        <v>1579.6161261951343</v>
      </c>
      <c r="J24" s="160">
        <f t="shared" si="2"/>
        <v>-7.2982870005527714</v>
      </c>
      <c r="K24" s="161">
        <f t="shared" si="5"/>
        <v>-33.225507202871995</v>
      </c>
      <c r="L24" s="157">
        <f t="shared" si="12"/>
        <v>1974.5201577439179</v>
      </c>
      <c r="M24" s="160">
        <f t="shared" si="11"/>
        <v>-8.6538760289640727E-7</v>
      </c>
      <c r="N24" s="161">
        <f t="shared" si="13"/>
        <v>-1.9739968593057711E-6</v>
      </c>
      <c r="O24" s="157">
        <f t="shared" si="8"/>
        <v>1755.1290291057048</v>
      </c>
      <c r="P24" s="160">
        <f t="shared" si="9"/>
        <v>4.7980008653872241</v>
      </c>
      <c r="Q24" s="161">
        <f t="shared" si="10"/>
        <v>14.612912682888236</v>
      </c>
      <c r="R24" s="161">
        <f t="shared" si="15"/>
        <v>2193.911286382131</v>
      </c>
      <c r="S24" s="160">
        <f t="shared" si="14"/>
        <v>16.808287000552916</v>
      </c>
      <c r="T24" s="161">
        <f t="shared" si="16"/>
        <v>64.212258030456724</v>
      </c>
    </row>
    <row r="25" spans="1:20" x14ac:dyDescent="0.3">
      <c r="A25" s="155" t="s">
        <v>9</v>
      </c>
      <c r="B25" s="156">
        <v>6</v>
      </c>
      <c r="C25" s="157">
        <f t="shared" si="0"/>
        <v>1244.5079348883241</v>
      </c>
      <c r="D25" s="158">
        <f t="shared" si="17"/>
        <v>2.2000000000000002</v>
      </c>
      <c r="E25" s="157">
        <f t="shared" si="1"/>
        <v>1246.0904233027634</v>
      </c>
      <c r="F25" s="157">
        <f t="shared" si="3"/>
        <v>1557.6130291284542</v>
      </c>
      <c r="G25" s="160">
        <f t="shared" si="6"/>
        <v>16.986286135165365</v>
      </c>
      <c r="H25" s="161">
        <f t="shared" si="7"/>
        <v>61.431982504423104</v>
      </c>
      <c r="I25" s="157">
        <f t="shared" si="4"/>
        <v>1495.3085079633161</v>
      </c>
      <c r="J25" s="160">
        <f t="shared" si="2"/>
        <v>-21.472287000552654</v>
      </c>
      <c r="K25" s="161">
        <f t="shared" si="5"/>
        <v>-92.157961484425869</v>
      </c>
      <c r="L25" s="157">
        <f t="shared" si="12"/>
        <v>1869.1356349541452</v>
      </c>
      <c r="M25" s="160">
        <f t="shared" si="11"/>
        <v>4.4999134612338891E-2</v>
      </c>
      <c r="N25" s="161">
        <f t="shared" si="13"/>
        <v>9.7168351338495995E-2</v>
      </c>
      <c r="O25" s="157">
        <f t="shared" si="8"/>
        <v>1661.4538977370178</v>
      </c>
      <c r="P25" s="160">
        <f t="shared" si="9"/>
        <v>5.5000865387819953E-2</v>
      </c>
      <c r="Q25" s="161">
        <f t="shared" si="10"/>
        <v>0.15835441861327126</v>
      </c>
      <c r="R25" s="161">
        <f t="shared" si="15"/>
        <v>2076.8173721712724</v>
      </c>
      <c r="S25" s="160">
        <f t="shared" si="14"/>
        <v>21.540287000552304</v>
      </c>
      <c r="T25" s="161">
        <f t="shared" si="16"/>
        <v>78.004533633185929</v>
      </c>
    </row>
    <row r="26" spans="1:20" x14ac:dyDescent="0.3">
      <c r="A26" s="155" t="s">
        <v>10</v>
      </c>
      <c r="B26" s="156">
        <v>6</v>
      </c>
      <c r="C26" s="157">
        <f t="shared" si="0"/>
        <v>1174.6590716696307</v>
      </c>
      <c r="D26" s="158">
        <f t="shared" si="17"/>
        <v>2.8</v>
      </c>
      <c r="E26" s="157">
        <f t="shared" si="1"/>
        <v>1176.5604359565184</v>
      </c>
      <c r="F26" s="157">
        <f t="shared" si="3"/>
        <v>1470.7005449456481</v>
      </c>
      <c r="G26" s="160">
        <f t="shared" si="6"/>
        <v>7.2552861351650293</v>
      </c>
      <c r="H26" s="161">
        <f t="shared" si="7"/>
        <v>24.705482883131481</v>
      </c>
      <c r="I26" s="157">
        <f t="shared" si="4"/>
        <v>1411.872523147822</v>
      </c>
      <c r="J26" s="160">
        <f t="shared" si="2"/>
        <v>-12.341287000552535</v>
      </c>
      <c r="K26" s="161">
        <f t="shared" si="5"/>
        <v>-50.144478616976812</v>
      </c>
      <c r="L26" s="157">
        <f t="shared" si="12"/>
        <v>1764.8406539347775</v>
      </c>
      <c r="M26" s="160">
        <f t="shared" si="11"/>
        <v>-4.7550008653870917</v>
      </c>
      <c r="N26" s="161">
        <f t="shared" si="13"/>
        <v>-9.6813078695531658</v>
      </c>
      <c r="O26" s="157">
        <f t="shared" si="8"/>
        <v>1568.7472479420244</v>
      </c>
      <c r="P26" s="160">
        <f t="shared" si="9"/>
        <v>4.6550008653877919</v>
      </c>
      <c r="Q26" s="161">
        <f t="shared" si="10"/>
        <v>12.67133043760623</v>
      </c>
      <c r="R26" s="161">
        <f t="shared" si="15"/>
        <v>1960.9340599275308</v>
      </c>
      <c r="S26" s="160">
        <f t="shared" si="14"/>
        <v>11.953287000552441</v>
      </c>
      <c r="T26" s="161">
        <f t="shared" si="16"/>
        <v>40.758290488166494</v>
      </c>
    </row>
    <row r="27" spans="1:20" x14ac:dyDescent="0.3">
      <c r="A27" s="155" t="s">
        <v>11</v>
      </c>
      <c r="B27" s="156">
        <v>6</v>
      </c>
      <c r="C27" s="157">
        <f t="shared" si="0"/>
        <v>1108.7305239074888</v>
      </c>
      <c r="D27" s="158">
        <f t="shared" si="17"/>
        <v>-1.6759999999999999</v>
      </c>
      <c r="E27" s="157">
        <f t="shared" si="1"/>
        <v>1107.6576861961412</v>
      </c>
      <c r="F27" s="157">
        <f t="shared" si="3"/>
        <v>1384.5721077451765</v>
      </c>
      <c r="G27" s="160">
        <f t="shared" si="6"/>
        <v>21.462286135165247</v>
      </c>
      <c r="H27" s="161">
        <f t="shared" si="7"/>
        <v>69.086078717000419</v>
      </c>
      <c r="I27" s="157">
        <f t="shared" si="4"/>
        <v>1329.1892234353693</v>
      </c>
      <c r="J27" s="160">
        <f t="shared" si="2"/>
        <v>-16.808287000551882</v>
      </c>
      <c r="K27" s="161">
        <f t="shared" si="5"/>
        <v>-64.212258030453995</v>
      </c>
      <c r="L27" s="157">
        <f t="shared" si="12"/>
        <v>1661.4865292942118</v>
      </c>
      <c r="M27" s="160">
        <f t="shared" si="11"/>
        <v>2.0999134612990474E-2</v>
      </c>
      <c r="N27" s="161">
        <f t="shared" si="13"/>
        <v>4.0306498020981962E-2</v>
      </c>
      <c r="O27" s="157">
        <f t="shared" si="8"/>
        <v>1476.8769149281882</v>
      </c>
      <c r="P27" s="160">
        <f t="shared" si="9"/>
        <v>8.6538760246382807E-7</v>
      </c>
      <c r="Q27" s="161">
        <f t="shared" si="10"/>
        <v>2.2147278286865912E-6</v>
      </c>
      <c r="R27" s="161">
        <f t="shared" si="15"/>
        <v>1846.0961436602354</v>
      </c>
      <c r="S27" s="160">
        <f t="shared" si="14"/>
        <v>21.517287000552585</v>
      </c>
      <c r="T27" s="161">
        <f t="shared" si="16"/>
        <v>69.264226408737159</v>
      </c>
    </row>
    <row r="28" spans="1:20" x14ac:dyDescent="0.3">
      <c r="A28" s="155" t="s">
        <v>0</v>
      </c>
      <c r="B28" s="156">
        <v>6</v>
      </c>
      <c r="C28" s="157">
        <f t="shared" si="0"/>
        <v>1046.5022612023949</v>
      </c>
      <c r="D28" s="158">
        <f t="shared" si="17"/>
        <v>8.0990000000000002</v>
      </c>
      <c r="E28" s="157">
        <f t="shared" si="1"/>
        <v>1051.4094416911669</v>
      </c>
      <c r="F28" s="157">
        <f t="shared" si="3"/>
        <v>1314.2618021139585</v>
      </c>
      <c r="G28" s="160">
        <f t="shared" si="6"/>
        <v>2.74428613516598</v>
      </c>
      <c r="H28" s="161">
        <f t="shared" si="7"/>
        <v>8.3398788612803401</v>
      </c>
      <c r="I28" s="157">
        <f t="shared" si="4"/>
        <v>1261.6913300294002</v>
      </c>
      <c r="J28" s="160">
        <f t="shared" si="2"/>
        <v>-21.540287000552116</v>
      </c>
      <c r="K28" s="161">
        <f t="shared" si="5"/>
        <v>-78.004533633185019</v>
      </c>
      <c r="L28" s="157">
        <f t="shared" si="12"/>
        <v>1577.1141625367504</v>
      </c>
      <c r="M28" s="160">
        <f t="shared" si="11"/>
        <v>-4.5540008653870307</v>
      </c>
      <c r="N28" s="161">
        <f t="shared" si="13"/>
        <v>-8.2862755643809578</v>
      </c>
      <c r="O28" s="157">
        <f t="shared" si="8"/>
        <v>1401.8792555882223</v>
      </c>
      <c r="P28" s="160">
        <f t="shared" si="9"/>
        <v>-4.3999134612092983E-2</v>
      </c>
      <c r="Q28" s="161">
        <f t="shared" si="10"/>
        <v>-0.10688449138797296</v>
      </c>
      <c r="R28" s="161">
        <f t="shared" si="15"/>
        <v>1752.3490694852783</v>
      </c>
      <c r="S28" s="160">
        <f t="shared" si="14"/>
        <v>7.5422870005531228</v>
      </c>
      <c r="T28" s="161">
        <f t="shared" si="16"/>
        <v>22.952791544168576</v>
      </c>
    </row>
    <row r="29" spans="1:20" x14ac:dyDescent="0.3">
      <c r="A29" s="155" t="s">
        <v>1</v>
      </c>
      <c r="B29" s="156">
        <v>5</v>
      </c>
      <c r="C29" s="157">
        <f t="shared" si="0"/>
        <v>987.7666025122486</v>
      </c>
      <c r="D29" s="158">
        <f t="shared" si="17"/>
        <v>-0.88800000000000001</v>
      </c>
      <c r="E29" s="157">
        <f t="shared" si="1"/>
        <v>987.26007837845953</v>
      </c>
      <c r="F29" s="157">
        <f t="shared" si="3"/>
        <v>1234.0750979730744</v>
      </c>
      <c r="G29" s="160">
        <f t="shared" si="6"/>
        <v>16.774286135165561</v>
      </c>
      <c r="H29" s="161">
        <f t="shared" si="7"/>
        <v>48.061301318755795</v>
      </c>
      <c r="I29" s="157">
        <f t="shared" si="4"/>
        <v>1184.7120940541513</v>
      </c>
      <c r="J29" s="160">
        <f t="shared" si="2"/>
        <v>-11.953287000552114</v>
      </c>
      <c r="K29" s="161">
        <f t="shared" si="5"/>
        <v>-40.758290488164675</v>
      </c>
      <c r="L29" s="157">
        <f t="shared" si="12"/>
        <v>1480.8901175676892</v>
      </c>
      <c r="M29" s="160">
        <f t="shared" si="11"/>
        <v>-4.6980008653871845</v>
      </c>
      <c r="N29" s="161">
        <f t="shared" si="13"/>
        <v>-8.0264038025165974</v>
      </c>
      <c r="O29" s="157">
        <f t="shared" si="8"/>
        <v>1316.3467711712792</v>
      </c>
      <c r="P29" s="160">
        <f t="shared" si="9"/>
        <v>8.6538837128618868E-7</v>
      </c>
      <c r="Q29" s="161">
        <f t="shared" si="10"/>
        <v>1.9739977688004728E-6</v>
      </c>
      <c r="R29" s="161">
        <f t="shared" si="15"/>
        <v>1645.4334639640992</v>
      </c>
      <c r="S29" s="160">
        <f t="shared" si="14"/>
        <v>16.829287000553194</v>
      </c>
      <c r="T29" s="161">
        <f t="shared" si="16"/>
        <v>48.219655737369067</v>
      </c>
    </row>
    <row r="30" spans="1:20" x14ac:dyDescent="0.3">
      <c r="A30" s="155" t="s">
        <v>2</v>
      </c>
      <c r="B30" s="156">
        <v>5</v>
      </c>
      <c r="C30" s="157">
        <f t="shared" si="0"/>
        <v>932.3275230361802</v>
      </c>
      <c r="D30" s="158">
        <f t="shared" si="17"/>
        <v>4.2</v>
      </c>
      <c r="E30" s="157">
        <f t="shared" si="1"/>
        <v>934.5921095649071</v>
      </c>
      <c r="F30" s="157">
        <f t="shared" si="3"/>
        <v>1168.2401369561339</v>
      </c>
      <c r="G30" s="160">
        <f t="shared" si="6"/>
        <v>12.286286135165268</v>
      </c>
      <c r="H30" s="161">
        <f t="shared" si="7"/>
        <v>33.281196001537865</v>
      </c>
      <c r="I30" s="157">
        <f t="shared" si="4"/>
        <v>1121.5105314778884</v>
      </c>
      <c r="J30" s="160">
        <f t="shared" si="2"/>
        <v>-21.517287000552475</v>
      </c>
      <c r="K30" s="161">
        <f t="shared" si="5"/>
        <v>-69.264226408736249</v>
      </c>
      <c r="L30" s="157">
        <f t="shared" si="12"/>
        <v>1401.8881643473605</v>
      </c>
      <c r="M30" s="160">
        <f t="shared" si="11"/>
        <v>-5.5000865387045961E-2</v>
      </c>
      <c r="N30" s="161">
        <f t="shared" si="13"/>
        <v>-8.9073845867915225E-2</v>
      </c>
      <c r="O30" s="157">
        <f t="shared" si="8"/>
        <v>1246.1228127532095</v>
      </c>
      <c r="P30" s="160">
        <f t="shared" si="9"/>
        <v>-4.4999134612431338E-2</v>
      </c>
      <c r="Q30" s="161">
        <f t="shared" si="10"/>
        <v>-9.7168351338041248E-2</v>
      </c>
      <c r="R30" s="161">
        <f t="shared" si="15"/>
        <v>1557.6535159415118</v>
      </c>
      <c r="S30" s="160">
        <f t="shared" si="14"/>
        <v>16.941287000552759</v>
      </c>
      <c r="T30" s="161">
        <f t="shared" si="16"/>
        <v>45.952526439144094</v>
      </c>
    </row>
    <row r="31" spans="1:20" x14ac:dyDescent="0.3">
      <c r="A31" s="155" t="s">
        <v>3</v>
      </c>
      <c r="B31" s="156">
        <v>5</v>
      </c>
      <c r="C31" s="157">
        <f t="shared" si="0"/>
        <v>880.00000000000034</v>
      </c>
      <c r="D31" s="158">
        <f t="shared" si="17"/>
        <v>0</v>
      </c>
      <c r="E31" s="157">
        <f t="shared" si="1"/>
        <v>880.00000000000034</v>
      </c>
      <c r="F31" s="157">
        <f t="shared" si="3"/>
        <v>1100.0000000000005</v>
      </c>
      <c r="G31" s="160">
        <f t="shared" si="6"/>
        <v>12.010286135165115</v>
      </c>
      <c r="H31" s="161">
        <f t="shared" si="7"/>
        <v>30.630744784562921</v>
      </c>
      <c r="I31" s="157">
        <f t="shared" si="4"/>
        <v>1056.0000000000005</v>
      </c>
      <c r="J31" s="160">
        <f t="shared" si="2"/>
        <v>-7.5422870005529576</v>
      </c>
      <c r="K31" s="161">
        <f t="shared" si="5"/>
        <v>-22.952791544167667</v>
      </c>
      <c r="L31" s="157">
        <f t="shared" si="12"/>
        <v>1320.0000000000005</v>
      </c>
      <c r="M31" s="160">
        <f t="shared" si="11"/>
        <v>-4.7980008653870625</v>
      </c>
      <c r="N31" s="161">
        <f t="shared" si="13"/>
        <v>-7.3064563414436634</v>
      </c>
      <c r="O31" s="157">
        <f t="shared" si="8"/>
        <v>1173.3333333333337</v>
      </c>
      <c r="P31" s="160">
        <f t="shared" si="9"/>
        <v>4.7550008653875508</v>
      </c>
      <c r="Q31" s="161">
        <f t="shared" si="10"/>
        <v>9.6813078695536205</v>
      </c>
      <c r="R31" s="161">
        <f t="shared" si="15"/>
        <v>1466.6666666666672</v>
      </c>
      <c r="S31" s="160">
        <f t="shared" si="14"/>
        <v>12.010287000552783</v>
      </c>
      <c r="T31" s="161">
        <f t="shared" si="16"/>
        <v>30.63074699929075</v>
      </c>
    </row>
    <row r="32" spans="1:20" x14ac:dyDescent="0.3">
      <c r="A32" s="155" t="s">
        <v>4</v>
      </c>
      <c r="B32" s="156">
        <v>5</v>
      </c>
      <c r="C32" s="157">
        <f t="shared" si="0"/>
        <v>830.6093951598906</v>
      </c>
      <c r="D32" s="158">
        <f t="shared" si="17"/>
        <v>0.3</v>
      </c>
      <c r="E32" s="157">
        <f t="shared" si="1"/>
        <v>830.75334127161102</v>
      </c>
      <c r="F32" s="157">
        <f t="shared" si="3"/>
        <v>1038.4416765895137</v>
      </c>
      <c r="G32" s="160">
        <f t="shared" si="6"/>
        <v>21.485286135164934</v>
      </c>
      <c r="H32" s="161">
        <f t="shared" si="7"/>
        <v>51.871060406612742</v>
      </c>
      <c r="I32" s="157">
        <f t="shared" si="4"/>
        <v>996.90400952593313</v>
      </c>
      <c r="J32" s="160">
        <f t="shared" si="2"/>
        <v>-16.829287000552611</v>
      </c>
      <c r="K32" s="161">
        <f t="shared" si="5"/>
        <v>-48.219655737368157</v>
      </c>
      <c r="L32" s="157">
        <f t="shared" si="12"/>
        <v>1246.1300119074165</v>
      </c>
      <c r="M32" s="160">
        <f t="shared" si="11"/>
        <v>-5.5000865387238175E-2</v>
      </c>
      <c r="N32" s="161">
        <f t="shared" si="13"/>
        <v>-7.9177209306180885E-2</v>
      </c>
      <c r="O32" s="157">
        <f t="shared" si="8"/>
        <v>1107.6711216954814</v>
      </c>
      <c r="P32" s="160">
        <f t="shared" si="9"/>
        <v>-2.0999134612737169E-2</v>
      </c>
      <c r="Q32" s="161">
        <f t="shared" si="10"/>
        <v>-4.0306498020527215E-2</v>
      </c>
      <c r="R32" s="161">
        <f t="shared" si="15"/>
        <v>1384.5889021193518</v>
      </c>
      <c r="S32" s="160">
        <f t="shared" si="14"/>
        <v>21.441287000552588</v>
      </c>
      <c r="T32" s="161">
        <f t="shared" si="16"/>
        <v>51.764175915224769</v>
      </c>
    </row>
    <row r="33" spans="1:20" x14ac:dyDescent="0.3">
      <c r="A33" s="155" t="s">
        <v>5</v>
      </c>
      <c r="B33" s="156">
        <v>5</v>
      </c>
      <c r="C33" s="157">
        <f t="shared" si="0"/>
        <v>783.99087196349888</v>
      </c>
      <c r="D33" s="158">
        <f t="shared" si="17"/>
        <v>5.5</v>
      </c>
      <c r="E33" s="157">
        <f t="shared" si="1"/>
        <v>786.48551237727986</v>
      </c>
      <c r="F33" s="157">
        <f t="shared" si="3"/>
        <v>983.10689047159985</v>
      </c>
      <c r="G33" s="160">
        <f t="shared" si="6"/>
        <v>7.2982861351651849</v>
      </c>
      <c r="H33" s="161">
        <f t="shared" si="7"/>
        <v>16.612751627438683</v>
      </c>
      <c r="I33" s="157">
        <f t="shared" si="4"/>
        <v>943.78261485273583</v>
      </c>
      <c r="J33" s="160">
        <f t="shared" si="2"/>
        <v>-16.941287000552617</v>
      </c>
      <c r="K33" s="161">
        <f t="shared" si="5"/>
        <v>-45.952526439143185</v>
      </c>
      <c r="L33" s="157">
        <f t="shared" si="12"/>
        <v>1179.7282685659197</v>
      </c>
      <c r="M33" s="160">
        <f t="shared" si="11"/>
        <v>-4.6550008653870929</v>
      </c>
      <c r="N33" s="161">
        <f t="shared" si="13"/>
        <v>-6.3356652188026601</v>
      </c>
      <c r="O33" s="157">
        <f t="shared" si="8"/>
        <v>1048.647349836373</v>
      </c>
      <c r="P33" s="160">
        <f t="shared" si="9"/>
        <v>4.5540008653874011</v>
      </c>
      <c r="Q33" s="161">
        <f t="shared" si="10"/>
        <v>8.2862755643814126</v>
      </c>
      <c r="R33" s="161">
        <f t="shared" si="15"/>
        <v>1310.8091872954665</v>
      </c>
      <c r="S33" s="160">
        <f t="shared" si="14"/>
        <v>7.2982870005530449</v>
      </c>
      <c r="T33" s="161">
        <f t="shared" si="16"/>
        <v>16.612753601436452</v>
      </c>
    </row>
    <row r="34" spans="1:20" x14ac:dyDescent="0.3">
      <c r="A34" s="155" t="s">
        <v>6</v>
      </c>
      <c r="B34" s="156">
        <v>5</v>
      </c>
      <c r="C34" s="157">
        <f t="shared" si="0"/>
        <v>739.98884542326903</v>
      </c>
      <c r="D34" s="158">
        <f t="shared" si="17"/>
        <v>-3.6309999999999998</v>
      </c>
      <c r="E34" s="157">
        <f t="shared" si="1"/>
        <v>738.43845783321535</v>
      </c>
      <c r="F34" s="157">
        <f t="shared" si="3"/>
        <v>923.04807229151925</v>
      </c>
      <c r="G34" s="160">
        <f t="shared" si="6"/>
        <v>21.517286135165179</v>
      </c>
      <c r="H34" s="161">
        <f t="shared" si="7"/>
        <v>46.17614909355143</v>
      </c>
      <c r="I34" s="157">
        <f t="shared" si="4"/>
        <v>886.12614939985838</v>
      </c>
      <c r="J34" s="160">
        <f t="shared" si="2"/>
        <v>-12.010287000552198</v>
      </c>
      <c r="K34" s="161">
        <f t="shared" si="5"/>
        <v>-30.63074699928984</v>
      </c>
      <c r="L34" s="157">
        <f t="shared" si="12"/>
        <v>1107.6576867498229</v>
      </c>
      <c r="M34" s="160">
        <f t="shared" si="11"/>
        <v>-8.6538702627963634E-7</v>
      </c>
      <c r="N34" s="161">
        <f t="shared" si="13"/>
        <v>-1.1073634595959447E-6</v>
      </c>
      <c r="O34" s="157">
        <f t="shared" si="8"/>
        <v>984.58461044428714</v>
      </c>
      <c r="P34" s="160">
        <f t="shared" si="9"/>
        <v>4.6980008653874243</v>
      </c>
      <c r="Q34" s="161">
        <f t="shared" si="10"/>
        <v>8.0264038025170521</v>
      </c>
      <c r="R34" s="161">
        <f t="shared" si="15"/>
        <v>1230.7307630553589</v>
      </c>
      <c r="S34" s="160">
        <f t="shared" si="14"/>
        <v>21.472287000552935</v>
      </c>
      <c r="T34" s="161">
        <f t="shared" si="16"/>
        <v>46.078980742213389</v>
      </c>
    </row>
    <row r="35" spans="1:20" x14ac:dyDescent="0.3">
      <c r="A35" s="155" t="s">
        <v>7</v>
      </c>
      <c r="B35" s="156">
        <v>5</v>
      </c>
      <c r="C35" s="157">
        <f t="shared" si="0"/>
        <v>698.456462866008</v>
      </c>
      <c r="D35" s="158">
        <f t="shared" si="17"/>
        <v>6.1</v>
      </c>
      <c r="E35" s="157">
        <f t="shared" si="1"/>
        <v>700.92181371221318</v>
      </c>
      <c r="F35" s="157">
        <f t="shared" si="3"/>
        <v>876.15226714026653</v>
      </c>
      <c r="G35" s="160">
        <f t="shared" si="6"/>
        <v>7.5862861351651762</v>
      </c>
      <c r="H35" s="161">
        <f t="shared" si="7"/>
        <v>15.39093143893524</v>
      </c>
      <c r="I35" s="157">
        <f t="shared" si="4"/>
        <v>841.10617645465584</v>
      </c>
      <c r="J35" s="160">
        <f t="shared" si="2"/>
        <v>-21.441287000552315</v>
      </c>
      <c r="K35" s="161">
        <f t="shared" si="5"/>
        <v>-51.764175915223859</v>
      </c>
      <c r="L35" s="157">
        <f t="shared" si="12"/>
        <v>1051.3827205683197</v>
      </c>
      <c r="M35" s="160">
        <f t="shared" si="11"/>
        <v>4.3999134612878354E-2</v>
      </c>
      <c r="N35" s="161">
        <f t="shared" si="13"/>
        <v>5.3442245694441226E-2</v>
      </c>
      <c r="O35" s="157">
        <f t="shared" si="8"/>
        <v>934.56241828295083</v>
      </c>
      <c r="P35" s="160">
        <f t="shared" si="9"/>
        <v>5.5000865387819953E-2</v>
      </c>
      <c r="Q35" s="161">
        <f t="shared" si="10"/>
        <v>8.9073845868369972E-2</v>
      </c>
      <c r="R35" s="161">
        <f t="shared" si="15"/>
        <v>1168.2030228536887</v>
      </c>
      <c r="S35" s="160">
        <f t="shared" si="14"/>
        <v>12.341287000552882</v>
      </c>
      <c r="T35" s="161">
        <f t="shared" si="16"/>
        <v>25.072239308488861</v>
      </c>
    </row>
    <row r="36" spans="1:20" x14ac:dyDescent="0.3">
      <c r="A36" s="155" t="s">
        <v>8</v>
      </c>
      <c r="B36" s="156">
        <v>5</v>
      </c>
      <c r="C36" s="157">
        <f t="shared" si="0"/>
        <v>659.25511382574007</v>
      </c>
      <c r="D36" s="158">
        <f t="shared" si="17"/>
        <v>-2.843</v>
      </c>
      <c r="E36" s="157">
        <f t="shared" ref="E36:E67" si="18">fundamental*(cent^offset)</f>
        <v>658.1733859146392</v>
      </c>
      <c r="F36" s="157">
        <f t="shared" si="3"/>
        <v>822.71673239329903</v>
      </c>
      <c r="G36" s="160">
        <f t="shared" si="6"/>
        <v>16.829286135165063</v>
      </c>
      <c r="H36" s="161">
        <f t="shared" si="7"/>
        <v>32.14643551324798</v>
      </c>
      <c r="I36" s="157">
        <f t="shared" si="4"/>
        <v>789.80806309756701</v>
      </c>
      <c r="J36" s="160">
        <f t="shared" si="2"/>
        <v>-7.2982870005527714</v>
      </c>
      <c r="K36" s="161">
        <f t="shared" si="5"/>
        <v>-16.612753601435543</v>
      </c>
      <c r="L36" s="157">
        <f t="shared" si="12"/>
        <v>987.26007887195874</v>
      </c>
      <c r="M36" s="160">
        <f t="shared" si="11"/>
        <v>-8.6538760289640727E-7</v>
      </c>
      <c r="N36" s="161">
        <f t="shared" si="13"/>
        <v>-9.8699842965288553E-7</v>
      </c>
      <c r="O36" s="157">
        <f t="shared" si="8"/>
        <v>877.56451455285219</v>
      </c>
      <c r="P36" s="160">
        <f t="shared" si="9"/>
        <v>4.7980008653876078</v>
      </c>
      <c r="Q36" s="161">
        <f t="shared" si="10"/>
        <v>7.3064563414441182</v>
      </c>
      <c r="R36" s="161">
        <f t="shared" si="15"/>
        <v>1096.9556431910653</v>
      </c>
      <c r="S36" s="160">
        <f t="shared" si="14"/>
        <v>16.808287000552536</v>
      </c>
      <c r="T36" s="161">
        <f t="shared" si="16"/>
        <v>32.106129015227452</v>
      </c>
    </row>
    <row r="37" spans="1:20" x14ac:dyDescent="0.3">
      <c r="A37" s="155" t="s">
        <v>9</v>
      </c>
      <c r="B37" s="156">
        <v>5</v>
      </c>
      <c r="C37" s="157">
        <f t="shared" si="0"/>
        <v>622.25396744416196</v>
      </c>
      <c r="D37" s="158">
        <f t="shared" si="17"/>
        <v>2.2000000000000002</v>
      </c>
      <c r="E37" s="157">
        <f t="shared" si="18"/>
        <v>623.04521165138158</v>
      </c>
      <c r="F37" s="157">
        <f t="shared" si="3"/>
        <v>778.80651456422697</v>
      </c>
      <c r="G37" s="160">
        <f t="shared" si="6"/>
        <v>16.986286135165365</v>
      </c>
      <c r="H37" s="161">
        <f t="shared" si="7"/>
        <v>30.715991252211552</v>
      </c>
      <c r="I37" s="157">
        <f t="shared" si="4"/>
        <v>747.65425398165792</v>
      </c>
      <c r="J37" s="160">
        <f t="shared" si="2"/>
        <v>-21.472287000552654</v>
      </c>
      <c r="K37" s="161">
        <f t="shared" si="5"/>
        <v>-46.07898074221248</v>
      </c>
      <c r="L37" s="157">
        <f t="shared" si="12"/>
        <v>934.56781747707237</v>
      </c>
      <c r="M37" s="160">
        <f t="shared" si="11"/>
        <v>4.4999134612723299E-2</v>
      </c>
      <c r="N37" s="161">
        <f t="shared" si="13"/>
        <v>4.8584175669475371E-2</v>
      </c>
      <c r="O37" s="157">
        <f t="shared" si="8"/>
        <v>830.72694886850877</v>
      </c>
      <c r="P37" s="160">
        <f t="shared" si="9"/>
        <v>5.5000865387819953E-2</v>
      </c>
      <c r="Q37" s="161">
        <f t="shared" si="10"/>
        <v>7.9177209306635632E-2</v>
      </c>
      <c r="R37" s="161">
        <f t="shared" si="15"/>
        <v>1038.408686085636</v>
      </c>
      <c r="S37" s="160">
        <f t="shared" si="14"/>
        <v>21.540287000552304</v>
      </c>
      <c r="T37" s="161">
        <f t="shared" si="16"/>
        <v>39.002266816592964</v>
      </c>
    </row>
    <row r="38" spans="1:20" x14ac:dyDescent="0.3">
      <c r="A38" s="155" t="s">
        <v>10</v>
      </c>
      <c r="B38" s="156">
        <v>5</v>
      </c>
      <c r="C38" s="157">
        <f t="shared" si="0"/>
        <v>587.32953583481526</v>
      </c>
      <c r="D38" s="158">
        <f t="shared" si="17"/>
        <v>2.8</v>
      </c>
      <c r="E38" s="157">
        <f t="shared" si="18"/>
        <v>588.28021797825909</v>
      </c>
      <c r="F38" s="157">
        <f t="shared" si="3"/>
        <v>735.35027247282392</v>
      </c>
      <c r="G38" s="160">
        <f t="shared" si="6"/>
        <v>7.2552861351650293</v>
      </c>
      <c r="H38" s="161">
        <f t="shared" si="7"/>
        <v>12.35274144156574</v>
      </c>
      <c r="I38" s="157">
        <f t="shared" si="4"/>
        <v>705.93626157391088</v>
      </c>
      <c r="J38" s="160">
        <f t="shared" si="2"/>
        <v>-12.341287000552535</v>
      </c>
      <c r="K38" s="161">
        <f t="shared" si="5"/>
        <v>-25.072239308488406</v>
      </c>
      <c r="L38" s="157">
        <f t="shared" si="12"/>
        <v>882.42032696738863</v>
      </c>
      <c r="M38" s="160">
        <f t="shared" si="11"/>
        <v>-4.7550008653870917</v>
      </c>
      <c r="N38" s="161">
        <f t="shared" si="13"/>
        <v>-4.8406539347765829</v>
      </c>
      <c r="O38" s="157">
        <f t="shared" si="8"/>
        <v>784.37362397101208</v>
      </c>
      <c r="P38" s="160">
        <f t="shared" si="9"/>
        <v>4.6550008653877919</v>
      </c>
      <c r="Q38" s="161">
        <f t="shared" si="10"/>
        <v>6.3356652188031148</v>
      </c>
      <c r="R38" s="161">
        <f t="shared" si="15"/>
        <v>980.46702996376519</v>
      </c>
      <c r="S38" s="160">
        <f t="shared" si="14"/>
        <v>11.953287000552441</v>
      </c>
      <c r="T38" s="161">
        <f t="shared" si="16"/>
        <v>20.379145244082792</v>
      </c>
    </row>
    <row r="39" spans="1:20" x14ac:dyDescent="0.3">
      <c r="A39" s="155" t="s">
        <v>11</v>
      </c>
      <c r="B39" s="156">
        <v>5</v>
      </c>
      <c r="C39" s="157">
        <f t="shared" si="0"/>
        <v>554.36526195374427</v>
      </c>
      <c r="D39" s="158">
        <f t="shared" si="17"/>
        <v>-1.6759999999999999</v>
      </c>
      <c r="E39" s="157">
        <f t="shared" si="18"/>
        <v>553.82884309807048</v>
      </c>
      <c r="F39" s="157">
        <f t="shared" si="3"/>
        <v>692.28605387258813</v>
      </c>
      <c r="G39" s="160">
        <f t="shared" si="6"/>
        <v>21.462286135165247</v>
      </c>
      <c r="H39" s="161">
        <f t="shared" si="7"/>
        <v>34.543039358500209</v>
      </c>
      <c r="I39" s="157">
        <f t="shared" si="4"/>
        <v>664.59461171768453</v>
      </c>
      <c r="J39" s="160">
        <f t="shared" ref="J39:J70" si="19">1200*(LOG($E36/I39)/LOG(octave))</f>
        <v>-16.808287000551882</v>
      </c>
      <c r="K39" s="161">
        <f t="shared" si="5"/>
        <v>-32.106129015226543</v>
      </c>
      <c r="L39" s="157">
        <f t="shared" si="12"/>
        <v>830.74326464710566</v>
      </c>
      <c r="M39" s="160">
        <f t="shared" si="11"/>
        <v>2.0999134613374878E-2</v>
      </c>
      <c r="N39" s="161">
        <f t="shared" si="13"/>
        <v>2.0153249010718355E-2</v>
      </c>
      <c r="O39" s="157">
        <f t="shared" si="8"/>
        <v>738.43845746409397</v>
      </c>
      <c r="P39" s="160">
        <f t="shared" si="9"/>
        <v>8.6538760246382807E-7</v>
      </c>
      <c r="Q39" s="161">
        <f t="shared" si="10"/>
        <v>1.1073639143432956E-6</v>
      </c>
      <c r="R39" s="161">
        <f t="shared" si="15"/>
        <v>923.04807183011746</v>
      </c>
      <c r="S39" s="160">
        <f t="shared" si="14"/>
        <v>21.517287000552969</v>
      </c>
      <c r="T39" s="161">
        <f t="shared" si="16"/>
        <v>34.632113204368579</v>
      </c>
    </row>
    <row r="40" spans="1:20" x14ac:dyDescent="0.3">
      <c r="A40" s="155" t="s">
        <v>0</v>
      </c>
      <c r="B40" s="156">
        <v>5</v>
      </c>
      <c r="C40" s="157">
        <f t="shared" si="0"/>
        <v>523.25113060119736</v>
      </c>
      <c r="D40" s="158">
        <f t="shared" si="17"/>
        <v>8.0990000000000002</v>
      </c>
      <c r="E40" s="157">
        <f t="shared" si="18"/>
        <v>525.70472084558332</v>
      </c>
      <c r="F40" s="157">
        <f t="shared" si="3"/>
        <v>657.13090105697916</v>
      </c>
      <c r="G40" s="160">
        <f t="shared" si="6"/>
        <v>2.74428613516598</v>
      </c>
      <c r="H40" s="161">
        <f t="shared" si="7"/>
        <v>4.16993943064017</v>
      </c>
      <c r="I40" s="157">
        <f t="shared" si="4"/>
        <v>630.84566501469999</v>
      </c>
      <c r="J40" s="160">
        <f t="shared" si="19"/>
        <v>-21.540287000552116</v>
      </c>
      <c r="K40" s="161">
        <f t="shared" si="5"/>
        <v>-39.002266816592055</v>
      </c>
      <c r="L40" s="157">
        <f t="shared" si="12"/>
        <v>788.55708126837499</v>
      </c>
      <c r="M40" s="160">
        <f t="shared" si="11"/>
        <v>-4.554000865386838</v>
      </c>
      <c r="N40" s="161">
        <f t="shared" si="13"/>
        <v>-4.1431377821902515</v>
      </c>
      <c r="O40" s="157">
        <f t="shared" si="8"/>
        <v>700.93962779411106</v>
      </c>
      <c r="P40" s="160">
        <f t="shared" si="9"/>
        <v>-4.3999134612092983E-2</v>
      </c>
      <c r="Q40" s="161">
        <f t="shared" si="10"/>
        <v>-5.3442245693986479E-2</v>
      </c>
      <c r="R40" s="161">
        <f t="shared" si="15"/>
        <v>876.17453474263891</v>
      </c>
      <c r="S40" s="160">
        <f t="shared" si="14"/>
        <v>7.5422870005531228</v>
      </c>
      <c r="T40" s="161">
        <f t="shared" si="16"/>
        <v>11.476395772084288</v>
      </c>
    </row>
    <row r="41" spans="1:20" x14ac:dyDescent="0.3">
      <c r="A41" s="155" t="s">
        <v>1</v>
      </c>
      <c r="B41" s="156">
        <v>4</v>
      </c>
      <c r="C41" s="157">
        <f t="shared" si="0"/>
        <v>493.88330125612413</v>
      </c>
      <c r="D41" s="158">
        <f t="shared" si="17"/>
        <v>-0.88800000000000001</v>
      </c>
      <c r="E41" s="157">
        <f t="shared" si="18"/>
        <v>493.63003918922959</v>
      </c>
      <c r="F41" s="157">
        <f t="shared" si="3"/>
        <v>617.03754898653699</v>
      </c>
      <c r="G41" s="160">
        <f t="shared" ref="G41:G72" si="20">1200*(LOG(E37/F41)/LOG(octave))</f>
        <v>16.774286135165937</v>
      </c>
      <c r="H41" s="161">
        <f t="shared" si="7"/>
        <v>24.030650659378352</v>
      </c>
      <c r="I41" s="157">
        <f t="shared" si="4"/>
        <v>592.35604702707553</v>
      </c>
      <c r="J41" s="160">
        <f t="shared" si="19"/>
        <v>-11.953287000552114</v>
      </c>
      <c r="K41" s="161">
        <f t="shared" si="5"/>
        <v>-20.379145244081883</v>
      </c>
      <c r="L41" s="157">
        <f t="shared" si="12"/>
        <v>740.44505878384439</v>
      </c>
      <c r="M41" s="160">
        <f t="shared" si="11"/>
        <v>-4.6980008653868</v>
      </c>
      <c r="N41" s="161">
        <f t="shared" si="13"/>
        <v>-4.0132019012580713</v>
      </c>
      <c r="O41" s="157">
        <f t="shared" ref="O41:O72" si="21">(4/3)*cfund</f>
        <v>658.17338558563938</v>
      </c>
      <c r="P41" s="160">
        <f t="shared" ref="P41:P72" si="22">1200*(LOG($E36/O41)/LOG(octave))</f>
        <v>8.6538837128618868E-7</v>
      </c>
      <c r="Q41" s="161">
        <f t="shared" si="10"/>
        <v>9.8699911177391186E-7</v>
      </c>
      <c r="R41" s="161">
        <f t="shared" si="15"/>
        <v>822.7167319820494</v>
      </c>
      <c r="S41" s="160">
        <f t="shared" si="14"/>
        <v>16.829287000553194</v>
      </c>
      <c r="T41" s="161">
        <f t="shared" si="16"/>
        <v>24.109827868684988</v>
      </c>
    </row>
    <row r="42" spans="1:20" x14ac:dyDescent="0.3">
      <c r="A42" s="155" t="s">
        <v>2</v>
      </c>
      <c r="B42" s="156">
        <v>4</v>
      </c>
      <c r="C42" s="157">
        <f t="shared" si="0"/>
        <v>466.16376151808993</v>
      </c>
      <c r="D42" s="158">
        <f t="shared" si="17"/>
        <v>4.2</v>
      </c>
      <c r="E42" s="157">
        <f t="shared" si="18"/>
        <v>467.29605478245338</v>
      </c>
      <c r="F42" s="157">
        <f t="shared" si="3"/>
        <v>584.12006847806674</v>
      </c>
      <c r="G42" s="160">
        <f t="shared" si="20"/>
        <v>12.28628613516565</v>
      </c>
      <c r="H42" s="161">
        <f t="shared" si="7"/>
        <v>16.640598000769387</v>
      </c>
      <c r="I42" s="157">
        <f t="shared" si="4"/>
        <v>560.75526573894399</v>
      </c>
      <c r="J42" s="160">
        <f t="shared" si="19"/>
        <v>-21.517287000552081</v>
      </c>
      <c r="K42" s="161">
        <f t="shared" si="5"/>
        <v>-34.63211320436767</v>
      </c>
      <c r="L42" s="157">
        <f t="shared" si="12"/>
        <v>700.94408217368004</v>
      </c>
      <c r="M42" s="160">
        <f t="shared" si="11"/>
        <v>-5.5000865386853746E-2</v>
      </c>
      <c r="N42" s="161">
        <f t="shared" si="13"/>
        <v>-4.4536922933730239E-2</v>
      </c>
      <c r="O42" s="157">
        <f t="shared" si="21"/>
        <v>623.06140637660451</v>
      </c>
      <c r="P42" s="160">
        <f t="shared" si="22"/>
        <v>-4.4999134612046916E-2</v>
      </c>
      <c r="Q42" s="161">
        <f t="shared" si="10"/>
        <v>-4.858417566879325E-2</v>
      </c>
      <c r="R42" s="161">
        <f t="shared" si="15"/>
        <v>778.82675797075569</v>
      </c>
      <c r="S42" s="160">
        <f t="shared" si="14"/>
        <v>16.941287000553139</v>
      </c>
      <c r="T42" s="161">
        <f t="shared" si="16"/>
        <v>22.976263219572502</v>
      </c>
    </row>
    <row r="43" spans="1:20" x14ac:dyDescent="0.3">
      <c r="A43" s="155" t="s">
        <v>3</v>
      </c>
      <c r="B43" s="156">
        <v>4</v>
      </c>
      <c r="C43" s="157">
        <v>440</v>
      </c>
      <c r="D43" s="158">
        <f t="shared" si="17"/>
        <v>0</v>
      </c>
      <c r="E43" s="162">
        <f t="shared" si="18"/>
        <v>440</v>
      </c>
      <c r="F43" s="157">
        <f t="shared" si="3"/>
        <v>550</v>
      </c>
      <c r="G43" s="160">
        <f t="shared" si="20"/>
        <v>12.010286135165495</v>
      </c>
      <c r="H43" s="161">
        <f t="shared" si="7"/>
        <v>15.315372392281915</v>
      </c>
      <c r="I43" s="157">
        <f t="shared" si="4"/>
        <v>528</v>
      </c>
      <c r="J43" s="160">
        <f t="shared" si="19"/>
        <v>-7.5422870005525713</v>
      </c>
      <c r="K43" s="161">
        <f t="shared" si="5"/>
        <v>-11.476395772083379</v>
      </c>
      <c r="L43" s="157">
        <f t="shared" si="12"/>
        <v>660</v>
      </c>
      <c r="M43" s="160">
        <f t="shared" ref="M43:M74" si="23">1200*(LOG($E36/L43)/LOG(octave))</f>
        <v>-4.798000865386677</v>
      </c>
      <c r="N43" s="161">
        <f t="shared" si="13"/>
        <v>-3.6532281707216043</v>
      </c>
      <c r="O43" s="157">
        <f t="shared" si="21"/>
        <v>586.66666666666663</v>
      </c>
      <c r="P43" s="160">
        <f t="shared" si="22"/>
        <v>4.7550008653879354</v>
      </c>
      <c r="Q43" s="161">
        <f t="shared" si="10"/>
        <v>4.840653934777265</v>
      </c>
      <c r="R43" s="161">
        <f t="shared" si="15"/>
        <v>733.33333333333337</v>
      </c>
      <c r="S43" s="160">
        <f t="shared" si="14"/>
        <v>12.010287000552783</v>
      </c>
      <c r="T43" s="161">
        <f t="shared" si="16"/>
        <v>15.31537349964583</v>
      </c>
    </row>
    <row r="44" spans="1:20" x14ac:dyDescent="0.3">
      <c r="A44" s="155" t="s">
        <v>4</v>
      </c>
      <c r="B44" s="156">
        <v>4</v>
      </c>
      <c r="C44" s="157">
        <f t="shared" ref="C44:C91" si="24">C43/semitone</f>
        <v>415.30469757994513</v>
      </c>
      <c r="D44" s="158">
        <f t="shared" si="17"/>
        <v>0.3</v>
      </c>
      <c r="E44" s="157">
        <f t="shared" si="18"/>
        <v>415.37667063580534</v>
      </c>
      <c r="F44" s="157">
        <f t="shared" si="3"/>
        <v>519.22083829475673</v>
      </c>
      <c r="G44" s="160">
        <f t="shared" si="20"/>
        <v>21.485286135164934</v>
      </c>
      <c r="H44" s="161">
        <f t="shared" si="7"/>
        <v>25.935530203306371</v>
      </c>
      <c r="I44" s="157">
        <f t="shared" si="4"/>
        <v>498.4520047629664</v>
      </c>
      <c r="J44" s="160">
        <f t="shared" si="19"/>
        <v>-16.829287000552807</v>
      </c>
      <c r="K44" s="161">
        <f t="shared" si="5"/>
        <v>-24.109827868684079</v>
      </c>
      <c r="L44" s="157">
        <f t="shared" si="12"/>
        <v>623.06500595370801</v>
      </c>
      <c r="M44" s="160">
        <f t="shared" si="23"/>
        <v>-5.5000865387045961E-2</v>
      </c>
      <c r="N44" s="161">
        <f t="shared" si="13"/>
        <v>-3.9588604652863069E-2</v>
      </c>
      <c r="O44" s="157">
        <f t="shared" si="21"/>
        <v>553.83556084774045</v>
      </c>
      <c r="P44" s="160">
        <f t="shared" si="22"/>
        <v>-2.0999134612352751E-2</v>
      </c>
      <c r="Q44" s="161">
        <f t="shared" si="10"/>
        <v>-2.0153249010036234E-2</v>
      </c>
      <c r="R44" s="161">
        <f t="shared" si="15"/>
        <v>692.29445105967557</v>
      </c>
      <c r="S44" s="160">
        <f t="shared" si="14"/>
        <v>21.441287000552972</v>
      </c>
      <c r="T44" s="161">
        <f t="shared" si="16"/>
        <v>25.882087957612384</v>
      </c>
    </row>
    <row r="45" spans="1:20" x14ac:dyDescent="0.3">
      <c r="A45" s="155" t="s">
        <v>5</v>
      </c>
      <c r="B45" s="156">
        <v>4</v>
      </c>
      <c r="C45" s="157">
        <f t="shared" si="24"/>
        <v>391.99543598174927</v>
      </c>
      <c r="D45" s="158">
        <f t="shared" si="17"/>
        <v>5.5</v>
      </c>
      <c r="E45" s="157">
        <f t="shared" si="18"/>
        <v>393.24275618863976</v>
      </c>
      <c r="F45" s="157">
        <f t="shared" si="3"/>
        <v>491.5534452357997</v>
      </c>
      <c r="G45" s="160">
        <f t="shared" si="20"/>
        <v>7.2982861351651849</v>
      </c>
      <c r="H45" s="161">
        <f t="shared" si="7"/>
        <v>8.3063758137195691</v>
      </c>
      <c r="I45" s="157">
        <f t="shared" si="4"/>
        <v>471.89130742636769</v>
      </c>
      <c r="J45" s="160">
        <f t="shared" si="19"/>
        <v>-16.941287000552425</v>
      </c>
      <c r="K45" s="161">
        <f t="shared" si="5"/>
        <v>-22.976263219571592</v>
      </c>
      <c r="L45" s="157">
        <f t="shared" si="12"/>
        <v>589.86413428295964</v>
      </c>
      <c r="M45" s="160">
        <f t="shared" si="23"/>
        <v>-4.6550008653869011</v>
      </c>
      <c r="N45" s="161">
        <f t="shared" si="13"/>
        <v>-3.1678326094011027</v>
      </c>
      <c r="O45" s="157">
        <f t="shared" si="21"/>
        <v>524.32367491818627</v>
      </c>
      <c r="P45" s="160">
        <f t="shared" si="22"/>
        <v>4.5540008653877848</v>
      </c>
      <c r="Q45" s="161">
        <f t="shared" si="10"/>
        <v>4.1431377821909336</v>
      </c>
      <c r="R45" s="161">
        <f t="shared" si="15"/>
        <v>655.40459364773301</v>
      </c>
      <c r="S45" s="160">
        <f t="shared" ref="S45:S76" si="25">1200*(LOG($E36/R45)/LOG(octave))</f>
        <v>7.2982870005534277</v>
      </c>
      <c r="T45" s="161">
        <f t="shared" si="16"/>
        <v>8.3063768007186809</v>
      </c>
    </row>
    <row r="46" spans="1:20" x14ac:dyDescent="0.3">
      <c r="A46" s="155" t="s">
        <v>6</v>
      </c>
      <c r="B46" s="156">
        <v>4</v>
      </c>
      <c r="C46" s="157">
        <f t="shared" si="24"/>
        <v>369.99442271163434</v>
      </c>
      <c r="D46" s="158">
        <f t="shared" si="17"/>
        <v>-3.6309999999999998</v>
      </c>
      <c r="E46" s="157">
        <f t="shared" si="18"/>
        <v>369.21922891660751</v>
      </c>
      <c r="F46" s="157">
        <f t="shared" si="3"/>
        <v>461.5240361457594</v>
      </c>
      <c r="G46" s="160">
        <f t="shared" si="20"/>
        <v>21.517286135165563</v>
      </c>
      <c r="H46" s="161">
        <f t="shared" si="7"/>
        <v>23.088074546775943</v>
      </c>
      <c r="I46" s="157">
        <f t="shared" si="4"/>
        <v>443.06307469992902</v>
      </c>
      <c r="J46" s="160">
        <f t="shared" si="19"/>
        <v>-12.010287000552198</v>
      </c>
      <c r="K46" s="161">
        <f t="shared" si="5"/>
        <v>-15.31537349964492</v>
      </c>
      <c r="L46" s="157">
        <f t="shared" si="12"/>
        <v>553.82884337491123</v>
      </c>
      <c r="M46" s="160">
        <f t="shared" si="23"/>
        <v>-8.6538664186845572E-7</v>
      </c>
      <c r="N46" s="161">
        <f t="shared" si="13"/>
        <v>-5.5368150242429692E-7</v>
      </c>
      <c r="O46" s="157">
        <f t="shared" si="21"/>
        <v>492.29230522214334</v>
      </c>
      <c r="P46" s="160">
        <f t="shared" si="22"/>
        <v>4.6980008653878071</v>
      </c>
      <c r="Q46" s="161">
        <f t="shared" si="10"/>
        <v>4.0132019012587534</v>
      </c>
      <c r="R46" s="161">
        <f t="shared" si="15"/>
        <v>615.36538152767923</v>
      </c>
      <c r="S46" s="160">
        <f t="shared" si="25"/>
        <v>21.472287000553315</v>
      </c>
      <c r="T46" s="161">
        <f t="shared" si="16"/>
        <v>23.039490371107149</v>
      </c>
    </row>
    <row r="47" spans="1:20" x14ac:dyDescent="0.3">
      <c r="A47" s="155" t="s">
        <v>7</v>
      </c>
      <c r="B47" s="156">
        <v>4</v>
      </c>
      <c r="C47" s="157">
        <f t="shared" si="24"/>
        <v>349.22823143300383</v>
      </c>
      <c r="D47" s="158">
        <f t="shared" si="17"/>
        <v>6.1</v>
      </c>
      <c r="E47" s="157">
        <f t="shared" si="18"/>
        <v>350.46090685610642</v>
      </c>
      <c r="F47" s="157">
        <f t="shared" si="3"/>
        <v>438.07613357013304</v>
      </c>
      <c r="G47" s="160">
        <f t="shared" si="20"/>
        <v>7.5862861351655582</v>
      </c>
      <c r="H47" s="161">
        <f t="shared" si="7"/>
        <v>7.6954657194678475</v>
      </c>
      <c r="I47" s="157">
        <f t="shared" si="4"/>
        <v>420.55308822732769</v>
      </c>
      <c r="J47" s="160">
        <f t="shared" si="19"/>
        <v>-21.441287000552116</v>
      </c>
      <c r="K47" s="161">
        <f t="shared" si="5"/>
        <v>-25.882087957611475</v>
      </c>
      <c r="L47" s="157">
        <f t="shared" si="12"/>
        <v>525.6913602841596</v>
      </c>
      <c r="M47" s="160">
        <f t="shared" si="23"/>
        <v>4.3999134613262755E-2</v>
      </c>
      <c r="N47" s="161">
        <f t="shared" si="13"/>
        <v>2.6721122847447987E-2</v>
      </c>
      <c r="O47" s="157">
        <f t="shared" si="21"/>
        <v>467.28120914147519</v>
      </c>
      <c r="P47" s="160">
        <f t="shared" si="22"/>
        <v>5.5000865387819953E-2</v>
      </c>
      <c r="Q47" s="161">
        <f t="shared" si="10"/>
        <v>4.453692293441236E-2</v>
      </c>
      <c r="R47" s="161">
        <f t="shared" si="15"/>
        <v>584.10151142684401</v>
      </c>
      <c r="S47" s="160">
        <f t="shared" si="25"/>
        <v>12.341287000553264</v>
      </c>
      <c r="T47" s="161">
        <f t="shared" si="16"/>
        <v>12.536119654245113</v>
      </c>
    </row>
    <row r="48" spans="1:20" s="37" customFormat="1" x14ac:dyDescent="0.3">
      <c r="A48" s="155" t="s">
        <v>8</v>
      </c>
      <c r="B48" s="156">
        <v>4</v>
      </c>
      <c r="C48" s="157">
        <f t="shared" si="24"/>
        <v>329.62755691286986</v>
      </c>
      <c r="D48" s="158">
        <f t="shared" si="17"/>
        <v>-2.843</v>
      </c>
      <c r="E48" s="157">
        <f t="shared" si="18"/>
        <v>329.08669295731943</v>
      </c>
      <c r="F48" s="157">
        <f t="shared" si="3"/>
        <v>411.35836619664929</v>
      </c>
      <c r="G48" s="160">
        <f t="shared" si="20"/>
        <v>16.829286135165443</v>
      </c>
      <c r="H48" s="161">
        <f t="shared" si="7"/>
        <v>16.073217756624217</v>
      </c>
      <c r="I48" s="157">
        <f t="shared" si="4"/>
        <v>394.90403154878328</v>
      </c>
      <c r="J48" s="160">
        <f t="shared" si="19"/>
        <v>-7.2982870005525768</v>
      </c>
      <c r="K48" s="161">
        <f t="shared" si="5"/>
        <v>-8.3063768007177714</v>
      </c>
      <c r="L48" s="157">
        <f t="shared" si="12"/>
        <v>493.63003943597914</v>
      </c>
      <c r="M48" s="160">
        <f t="shared" si="23"/>
        <v>-8.6538741069081696E-7</v>
      </c>
      <c r="N48" s="161">
        <f t="shared" si="13"/>
        <v>-4.9349910113960505E-7</v>
      </c>
      <c r="O48" s="157">
        <f t="shared" si="21"/>
        <v>438.78225727642587</v>
      </c>
      <c r="P48" s="160">
        <f t="shared" si="22"/>
        <v>4.7980008653876078</v>
      </c>
      <c r="Q48" s="161">
        <f t="shared" si="10"/>
        <v>3.6532281707222864</v>
      </c>
      <c r="R48" s="161">
        <f t="shared" si="15"/>
        <v>548.47782159553242</v>
      </c>
      <c r="S48" s="160">
        <f t="shared" si="25"/>
        <v>16.808287000552916</v>
      </c>
      <c r="T48" s="161">
        <f t="shared" si="16"/>
        <v>16.053064507614181</v>
      </c>
    </row>
    <row r="49" spans="1:20" s="37" customFormat="1" x14ac:dyDescent="0.3">
      <c r="A49" s="155" t="s">
        <v>9</v>
      </c>
      <c r="B49" s="156">
        <v>4</v>
      </c>
      <c r="C49" s="157">
        <f t="shared" si="24"/>
        <v>311.12698372208081</v>
      </c>
      <c r="D49" s="158">
        <f t="shared" si="17"/>
        <v>2.2000000000000002</v>
      </c>
      <c r="E49" s="157">
        <f t="shared" si="18"/>
        <v>311.52260582569062</v>
      </c>
      <c r="F49" s="157">
        <f t="shared" si="3"/>
        <v>389.40325728211326</v>
      </c>
      <c r="G49" s="160">
        <f t="shared" si="20"/>
        <v>16.986286135165365</v>
      </c>
      <c r="H49" s="161">
        <f t="shared" si="7"/>
        <v>15.357995626106003</v>
      </c>
      <c r="I49" s="157">
        <f t="shared" si="4"/>
        <v>373.82712699082873</v>
      </c>
      <c r="J49" s="160">
        <f t="shared" si="19"/>
        <v>-21.472287000552463</v>
      </c>
      <c r="K49" s="161">
        <f t="shared" si="5"/>
        <v>-23.03949037110624</v>
      </c>
      <c r="L49" s="157">
        <f t="shared" si="12"/>
        <v>467.28390873853596</v>
      </c>
      <c r="M49" s="160">
        <f t="shared" si="23"/>
        <v>4.4999134612723299E-2</v>
      </c>
      <c r="N49" s="161">
        <f t="shared" si="13"/>
        <v>2.4292087834851372E-2</v>
      </c>
      <c r="O49" s="157">
        <f t="shared" si="21"/>
        <v>415.36347443425416</v>
      </c>
      <c r="P49" s="160">
        <f t="shared" si="22"/>
        <v>5.5000865387819953E-2</v>
      </c>
      <c r="Q49" s="161">
        <f t="shared" si="10"/>
        <v>3.958860465354519E-2</v>
      </c>
      <c r="R49" s="161">
        <f t="shared" si="15"/>
        <v>519.20434304281775</v>
      </c>
      <c r="S49" s="160">
        <f t="shared" si="25"/>
        <v>21.540287000552681</v>
      </c>
      <c r="T49" s="161">
        <f t="shared" si="16"/>
        <v>19.501133408296937</v>
      </c>
    </row>
    <row r="50" spans="1:20" s="37" customFormat="1" x14ac:dyDescent="0.3">
      <c r="A50" s="155" t="s">
        <v>10</v>
      </c>
      <c r="B50" s="156">
        <v>4</v>
      </c>
      <c r="C50" s="157">
        <f t="shared" si="24"/>
        <v>293.66476791740746</v>
      </c>
      <c r="D50" s="158">
        <f t="shared" si="17"/>
        <v>2.8</v>
      </c>
      <c r="E50" s="157">
        <f t="shared" si="18"/>
        <v>294.14010898912937</v>
      </c>
      <c r="F50" s="157">
        <f t="shared" si="3"/>
        <v>367.67513623641173</v>
      </c>
      <c r="G50" s="160">
        <f t="shared" si="20"/>
        <v>7.2552861351654121</v>
      </c>
      <c r="H50" s="161">
        <f t="shared" si="7"/>
        <v>6.1763707207830976</v>
      </c>
      <c r="I50" s="157">
        <f t="shared" si="4"/>
        <v>352.96813078695521</v>
      </c>
      <c r="J50" s="160">
        <f t="shared" si="19"/>
        <v>-12.341287000552148</v>
      </c>
      <c r="K50" s="161">
        <f t="shared" si="5"/>
        <v>-12.536119654243976</v>
      </c>
      <c r="L50" s="157">
        <f t="shared" si="12"/>
        <v>441.21016348369403</v>
      </c>
      <c r="M50" s="160">
        <f t="shared" si="23"/>
        <v>-4.7550008653867071</v>
      </c>
      <c r="N50" s="161">
        <f t="shared" si="13"/>
        <v>-2.4203269673880641</v>
      </c>
      <c r="O50" s="157">
        <f t="shared" si="21"/>
        <v>392.18681198550581</v>
      </c>
      <c r="P50" s="160">
        <f t="shared" si="22"/>
        <v>4.6550008653877919</v>
      </c>
      <c r="Q50" s="161">
        <f t="shared" si="10"/>
        <v>3.1678326094017848</v>
      </c>
      <c r="R50" s="161">
        <f t="shared" si="15"/>
        <v>490.23351498188231</v>
      </c>
      <c r="S50" s="160">
        <f t="shared" si="25"/>
        <v>11.953287000553207</v>
      </c>
      <c r="T50" s="161">
        <f t="shared" si="16"/>
        <v>10.189572622041851</v>
      </c>
    </row>
    <row r="51" spans="1:20" s="37" customFormat="1" ht="10.5" thickBot="1" x14ac:dyDescent="0.35">
      <c r="A51" s="155" t="s">
        <v>11</v>
      </c>
      <c r="B51" s="156">
        <v>4</v>
      </c>
      <c r="C51" s="157">
        <f t="shared" si="24"/>
        <v>277.18263097687196</v>
      </c>
      <c r="D51" s="158">
        <f t="shared" si="17"/>
        <v>-1.6759999999999999</v>
      </c>
      <c r="E51" s="157">
        <f t="shared" si="18"/>
        <v>276.91442154903507</v>
      </c>
      <c r="F51" s="157">
        <f t="shared" si="3"/>
        <v>346.14302693629384</v>
      </c>
      <c r="G51" s="160">
        <f t="shared" si="20"/>
        <v>21.462286135165627</v>
      </c>
      <c r="H51" s="161">
        <f t="shared" si="7"/>
        <v>17.271519679250332</v>
      </c>
      <c r="I51" s="157">
        <f t="shared" si="4"/>
        <v>332.29730585884209</v>
      </c>
      <c r="J51" s="160">
        <f t="shared" si="19"/>
        <v>-16.808287000551882</v>
      </c>
      <c r="K51" s="161">
        <f t="shared" si="5"/>
        <v>-16.053064507613271</v>
      </c>
      <c r="L51" s="157">
        <f t="shared" si="12"/>
        <v>415.3716323235526</v>
      </c>
      <c r="M51" s="160">
        <f t="shared" si="23"/>
        <v>2.0999134613374878E-2</v>
      </c>
      <c r="N51" s="161">
        <f t="shared" si="13"/>
        <v>1.0076624505472864E-2</v>
      </c>
      <c r="O51" s="157">
        <f t="shared" si="21"/>
        <v>369.21922873204676</v>
      </c>
      <c r="P51" s="160">
        <f t="shared" si="22"/>
        <v>8.6538798687500838E-7</v>
      </c>
      <c r="Q51" s="161">
        <f t="shared" si="10"/>
        <v>5.5368218454532325E-7</v>
      </c>
      <c r="R51" s="161">
        <f t="shared" si="15"/>
        <v>461.52403591505845</v>
      </c>
      <c r="S51" s="160">
        <f t="shared" si="25"/>
        <v>21.517287000553349</v>
      </c>
      <c r="T51" s="161">
        <f t="shared" si="16"/>
        <v>17.316056602184744</v>
      </c>
    </row>
    <row r="52" spans="1:20" s="6" customFormat="1" x14ac:dyDescent="0.3">
      <c r="A52" s="163" t="s">
        <v>0</v>
      </c>
      <c r="B52" s="164">
        <v>4</v>
      </c>
      <c r="C52" s="165">
        <f t="shared" si="24"/>
        <v>261.62556530059851</v>
      </c>
      <c r="D52" s="166">
        <f t="shared" si="17"/>
        <v>8.0990000000000002</v>
      </c>
      <c r="E52" s="165">
        <f t="shared" si="18"/>
        <v>262.85236042279149</v>
      </c>
      <c r="F52" s="165">
        <f t="shared" si="3"/>
        <v>328.56545052848935</v>
      </c>
      <c r="G52" s="167">
        <f t="shared" si="20"/>
        <v>2.7442861351663637</v>
      </c>
      <c r="H52" s="168">
        <f t="shared" si="7"/>
        <v>2.0849697153203124</v>
      </c>
      <c r="I52" s="165">
        <f t="shared" si="4"/>
        <v>315.42283250734977</v>
      </c>
      <c r="J52" s="167">
        <f t="shared" si="19"/>
        <v>-21.540287000551725</v>
      </c>
      <c r="K52" s="168">
        <f t="shared" si="5"/>
        <v>-19.501133408296027</v>
      </c>
      <c r="L52" s="165">
        <f t="shared" si="12"/>
        <v>394.27854063418727</v>
      </c>
      <c r="M52" s="167">
        <f t="shared" si="23"/>
        <v>-4.5540008653866453</v>
      </c>
      <c r="N52" s="168">
        <f t="shared" si="13"/>
        <v>-2.0715688910950121</v>
      </c>
      <c r="O52" s="165">
        <f t="shared" si="21"/>
        <v>350.4698138970553</v>
      </c>
      <c r="P52" s="167">
        <f t="shared" si="22"/>
        <v>-4.3999134611708568E-2</v>
      </c>
      <c r="Q52" s="168">
        <f t="shared" si="10"/>
        <v>-2.6721122846765866E-2</v>
      </c>
      <c r="R52" s="165">
        <f t="shared" si="15"/>
        <v>438.08726737131917</v>
      </c>
      <c r="S52" s="167">
        <f t="shared" si="25"/>
        <v>7.5422870005535048</v>
      </c>
      <c r="T52" s="168">
        <f t="shared" si="16"/>
        <v>5.7381978860425988</v>
      </c>
    </row>
    <row r="53" spans="1:20" s="6" customFormat="1" x14ac:dyDescent="0.3">
      <c r="A53" s="169" t="s">
        <v>1</v>
      </c>
      <c r="B53" s="170">
        <v>3</v>
      </c>
      <c r="C53" s="165">
        <f t="shared" si="24"/>
        <v>246.94165062806192</v>
      </c>
      <c r="D53" s="166">
        <f t="shared" si="17"/>
        <v>-0.88800000000000001</v>
      </c>
      <c r="E53" s="165">
        <f t="shared" si="18"/>
        <v>246.81501959461465</v>
      </c>
      <c r="F53" s="165">
        <f t="shared" si="3"/>
        <v>308.51877449326832</v>
      </c>
      <c r="G53" s="167">
        <f t="shared" si="20"/>
        <v>16.774286135165937</v>
      </c>
      <c r="H53" s="168">
        <f t="shared" si="7"/>
        <v>12.015325329689176</v>
      </c>
      <c r="I53" s="165">
        <f t="shared" si="4"/>
        <v>296.1780235135376</v>
      </c>
      <c r="J53" s="167">
        <f t="shared" si="19"/>
        <v>-11.953287000552114</v>
      </c>
      <c r="K53" s="168">
        <f t="shared" si="5"/>
        <v>-10.189572622040941</v>
      </c>
      <c r="L53" s="165">
        <f t="shared" si="12"/>
        <v>370.22252939192197</v>
      </c>
      <c r="M53" s="167">
        <f t="shared" si="23"/>
        <v>-4.6980008653866063</v>
      </c>
      <c r="N53" s="168">
        <f t="shared" si="13"/>
        <v>-2.006600950628922</v>
      </c>
      <c r="O53" s="165">
        <f t="shared" si="21"/>
        <v>329.08669279281952</v>
      </c>
      <c r="P53" s="167">
        <f t="shared" si="22"/>
        <v>8.6538837128618868E-7</v>
      </c>
      <c r="Q53" s="168">
        <f t="shared" si="10"/>
        <v>4.9349966957379365E-7</v>
      </c>
      <c r="R53" s="165">
        <f t="shared" ref="R53:R64" si="26">(5/3)*E53</f>
        <v>411.35836599102441</v>
      </c>
      <c r="S53" s="167">
        <f t="shared" si="25"/>
        <v>16.829287000553958</v>
      </c>
      <c r="T53" s="168">
        <f t="shared" ref="T53:T64" si="27">3*$E44-5*$E53</f>
        <v>12.054913934342721</v>
      </c>
    </row>
    <row r="54" spans="1:20" s="6" customFormat="1" x14ac:dyDescent="0.3">
      <c r="A54" s="169" t="s">
        <v>2</v>
      </c>
      <c r="B54" s="170">
        <v>3</v>
      </c>
      <c r="C54" s="165">
        <f t="shared" si="24"/>
        <v>233.08188075904482</v>
      </c>
      <c r="D54" s="166">
        <f t="shared" si="17"/>
        <v>4.2</v>
      </c>
      <c r="E54" s="165">
        <f t="shared" si="18"/>
        <v>233.64802739122655</v>
      </c>
      <c r="F54" s="165">
        <f t="shared" si="3"/>
        <v>292.0600342390332</v>
      </c>
      <c r="G54" s="167">
        <f t="shared" si="20"/>
        <v>12.28628613516565</v>
      </c>
      <c r="H54" s="168">
        <f t="shared" si="7"/>
        <v>8.3202990003846935</v>
      </c>
      <c r="I54" s="165">
        <f t="shared" si="4"/>
        <v>280.37763286947182</v>
      </c>
      <c r="J54" s="167">
        <f t="shared" si="19"/>
        <v>-21.517287000552081</v>
      </c>
      <c r="K54" s="168">
        <f t="shared" si="5"/>
        <v>-17.316056602183835</v>
      </c>
      <c r="L54" s="165">
        <f t="shared" si="12"/>
        <v>350.47204108683979</v>
      </c>
      <c r="M54" s="167">
        <f t="shared" si="23"/>
        <v>-5.5000865386469318E-2</v>
      </c>
      <c r="N54" s="168">
        <f t="shared" si="13"/>
        <v>-2.2268461466751432E-2</v>
      </c>
      <c r="O54" s="165">
        <f t="shared" si="21"/>
        <v>311.53070318830203</v>
      </c>
      <c r="P54" s="167">
        <f t="shared" si="22"/>
        <v>-4.4999134611662495E-2</v>
      </c>
      <c r="Q54" s="168">
        <f t="shared" si="10"/>
        <v>-2.4292087834282938E-2</v>
      </c>
      <c r="R54" s="165">
        <f t="shared" si="26"/>
        <v>389.41337898537762</v>
      </c>
      <c r="S54" s="167">
        <f t="shared" si="25"/>
        <v>16.941287000553519</v>
      </c>
      <c r="T54" s="168">
        <f t="shared" si="27"/>
        <v>11.488131609786478</v>
      </c>
    </row>
    <row r="55" spans="1:20" s="6" customFormat="1" x14ac:dyDescent="0.3">
      <c r="A55" s="169" t="s">
        <v>3</v>
      </c>
      <c r="B55" s="170">
        <v>3</v>
      </c>
      <c r="C55" s="165">
        <f t="shared" si="24"/>
        <v>219.99999999999986</v>
      </c>
      <c r="D55" s="166">
        <f t="shared" si="17"/>
        <v>0</v>
      </c>
      <c r="E55" s="165">
        <f t="shared" si="18"/>
        <v>219.99999999999986</v>
      </c>
      <c r="F55" s="165">
        <f t="shared" si="3"/>
        <v>274.99999999999983</v>
      </c>
      <c r="G55" s="167">
        <f t="shared" si="20"/>
        <v>12.010286135165495</v>
      </c>
      <c r="H55" s="168">
        <f t="shared" si="7"/>
        <v>7.6576861961409577</v>
      </c>
      <c r="I55" s="165">
        <f t="shared" si="4"/>
        <v>263.99999999999983</v>
      </c>
      <c r="J55" s="167">
        <f t="shared" si="19"/>
        <v>-7.5422870005525713</v>
      </c>
      <c r="K55" s="168">
        <f t="shared" si="5"/>
        <v>-5.7381978860416893</v>
      </c>
      <c r="L55" s="165">
        <f t="shared" si="12"/>
        <v>329.99999999999977</v>
      </c>
      <c r="M55" s="167">
        <f t="shared" si="23"/>
        <v>-4.7980008653862924</v>
      </c>
      <c r="N55" s="168">
        <f t="shared" si="13"/>
        <v>-1.8266140853606885</v>
      </c>
      <c r="O55" s="165">
        <f t="shared" si="21"/>
        <v>293.33333333333314</v>
      </c>
      <c r="P55" s="167">
        <f t="shared" si="22"/>
        <v>4.7550008653879354</v>
      </c>
      <c r="Q55" s="168">
        <f t="shared" si="10"/>
        <v>2.4203269673886325</v>
      </c>
      <c r="R55" s="165">
        <f t="shared" si="26"/>
        <v>366.66666666666646</v>
      </c>
      <c r="S55" s="167">
        <f t="shared" si="25"/>
        <v>12.010287000553166</v>
      </c>
      <c r="T55" s="168">
        <f t="shared" si="27"/>
        <v>7.6576867498231422</v>
      </c>
    </row>
    <row r="56" spans="1:20" s="6" customFormat="1" x14ac:dyDescent="0.3">
      <c r="A56" s="169" t="s">
        <v>4</v>
      </c>
      <c r="B56" s="170">
        <v>3</v>
      </c>
      <c r="C56" s="165">
        <f t="shared" si="24"/>
        <v>207.65234878997242</v>
      </c>
      <c r="D56" s="166">
        <f t="shared" si="17"/>
        <v>0.3</v>
      </c>
      <c r="E56" s="165">
        <f t="shared" si="18"/>
        <v>207.68833531790253</v>
      </c>
      <c r="F56" s="165">
        <f t="shared" si="3"/>
        <v>259.61041914737814</v>
      </c>
      <c r="G56" s="167">
        <f t="shared" si="20"/>
        <v>21.485286135165317</v>
      </c>
      <c r="H56" s="168">
        <f t="shared" si="7"/>
        <v>12.967765101653413</v>
      </c>
      <c r="I56" s="165">
        <f t="shared" si="4"/>
        <v>249.22600238148303</v>
      </c>
      <c r="J56" s="167">
        <f t="shared" si="19"/>
        <v>-16.829287000552611</v>
      </c>
      <c r="K56" s="168">
        <f t="shared" si="5"/>
        <v>-12.054913934341812</v>
      </c>
      <c r="L56" s="165">
        <f t="shared" si="12"/>
        <v>311.53250297685378</v>
      </c>
      <c r="M56" s="167">
        <f t="shared" si="23"/>
        <v>-5.5000865386661532E-2</v>
      </c>
      <c r="N56" s="168">
        <f>2*$E49-3*$E56</f>
        <v>-1.9794302326317847E-2</v>
      </c>
      <c r="O56" s="165">
        <f t="shared" si="21"/>
        <v>276.91778042387</v>
      </c>
      <c r="P56" s="167">
        <f t="shared" si="22"/>
        <v>-2.0999134611968336E-2</v>
      </c>
      <c r="Q56" s="168">
        <f t="shared" si="10"/>
        <v>-1.007662450490443E-2</v>
      </c>
      <c r="R56" s="165">
        <f t="shared" si="26"/>
        <v>346.14722552983756</v>
      </c>
      <c r="S56" s="167">
        <f t="shared" si="25"/>
        <v>21.441287000553345</v>
      </c>
      <c r="T56" s="168">
        <f t="shared" si="27"/>
        <v>12.941043978806647</v>
      </c>
    </row>
    <row r="57" spans="1:20" s="6" customFormat="1" x14ac:dyDescent="0.3">
      <c r="A57" s="169" t="s">
        <v>5</v>
      </c>
      <c r="B57" s="170">
        <v>3</v>
      </c>
      <c r="C57" s="165">
        <f t="shared" si="24"/>
        <v>195.99771799087449</v>
      </c>
      <c r="D57" s="166">
        <f t="shared" si="17"/>
        <v>5.5</v>
      </c>
      <c r="E57" s="165">
        <f t="shared" si="18"/>
        <v>196.62137809431974</v>
      </c>
      <c r="F57" s="165">
        <f t="shared" si="3"/>
        <v>245.77672261789968</v>
      </c>
      <c r="G57" s="167">
        <f t="shared" si="20"/>
        <v>7.2982861351655677</v>
      </c>
      <c r="H57" s="168">
        <f t="shared" si="7"/>
        <v>4.1531879068598982</v>
      </c>
      <c r="I57" s="165">
        <f t="shared" si="4"/>
        <v>235.94565371318367</v>
      </c>
      <c r="J57" s="167">
        <f t="shared" si="19"/>
        <v>-16.941287000552229</v>
      </c>
      <c r="K57" s="168">
        <f t="shared" si="5"/>
        <v>-11.488131609785569</v>
      </c>
      <c r="L57" s="165">
        <f t="shared" si="12"/>
        <v>294.93206714147959</v>
      </c>
      <c r="M57" s="167">
        <f t="shared" si="23"/>
        <v>-4.6550008653865147</v>
      </c>
      <c r="N57" s="168">
        <f t="shared" si="13"/>
        <v>-1.5839163047004376</v>
      </c>
      <c r="O57" s="165">
        <f t="shared" si="21"/>
        <v>262.16183745909296</v>
      </c>
      <c r="P57" s="167">
        <f t="shared" si="22"/>
        <v>4.5540008653877848</v>
      </c>
      <c r="Q57" s="168">
        <f t="shared" si="10"/>
        <v>2.0715688910955805</v>
      </c>
      <c r="R57" s="165">
        <f t="shared" si="26"/>
        <v>327.70229682386622</v>
      </c>
      <c r="S57" s="167">
        <f t="shared" si="25"/>
        <v>7.2982870005538114</v>
      </c>
      <c r="T57" s="168">
        <f t="shared" si="27"/>
        <v>4.1531884003595678</v>
      </c>
    </row>
    <row r="58" spans="1:20" s="6" customFormat="1" x14ac:dyDescent="0.3">
      <c r="A58" s="169" t="s">
        <v>6</v>
      </c>
      <c r="B58" s="170">
        <v>3</v>
      </c>
      <c r="C58" s="165">
        <f t="shared" si="24"/>
        <v>184.99721135581706</v>
      </c>
      <c r="D58" s="166">
        <f t="shared" si="17"/>
        <v>-3.6309999999999998</v>
      </c>
      <c r="E58" s="165">
        <f t="shared" si="18"/>
        <v>184.60961445830364</v>
      </c>
      <c r="F58" s="165">
        <f t="shared" si="3"/>
        <v>230.76201807287956</v>
      </c>
      <c r="G58" s="167">
        <f t="shared" si="20"/>
        <v>21.517286135165563</v>
      </c>
      <c r="H58" s="168">
        <f t="shared" si="7"/>
        <v>11.544037273387971</v>
      </c>
      <c r="I58" s="165">
        <f t="shared" si="4"/>
        <v>221.53153734996437</v>
      </c>
      <c r="J58" s="167">
        <f t="shared" si="19"/>
        <v>-12.010287000552198</v>
      </c>
      <c r="K58" s="168">
        <f>5*$E55-6*$E58</f>
        <v>-7.6576867498224601</v>
      </c>
      <c r="L58" s="165">
        <f t="shared" si="12"/>
        <v>276.91442168745544</v>
      </c>
      <c r="M58" s="167">
        <f t="shared" si="23"/>
        <v>-8.6538664186845572E-7</v>
      </c>
      <c r="N58" s="168">
        <f t="shared" si="13"/>
        <v>-2.7684075121214846E-7</v>
      </c>
      <c r="O58" s="165">
        <f t="shared" si="21"/>
        <v>246.1461526110715</v>
      </c>
      <c r="P58" s="167">
        <f t="shared" si="22"/>
        <v>4.6980008653878071</v>
      </c>
      <c r="Q58" s="168">
        <f t="shared" si="10"/>
        <v>2.0066009506293767</v>
      </c>
      <c r="R58" s="165">
        <f t="shared" si="26"/>
        <v>307.68269076383939</v>
      </c>
      <c r="S58" s="167">
        <f t="shared" si="25"/>
        <v>21.472287000553695</v>
      </c>
      <c r="T58" s="168">
        <f t="shared" si="27"/>
        <v>11.519745185553688</v>
      </c>
    </row>
    <row r="59" spans="1:20" s="6" customFormat="1" x14ac:dyDescent="0.3">
      <c r="A59" s="169" t="s">
        <v>7</v>
      </c>
      <c r="B59" s="170">
        <v>3</v>
      </c>
      <c r="C59" s="165">
        <f t="shared" si="24"/>
        <v>174.6141157165018</v>
      </c>
      <c r="D59" s="166">
        <f t="shared" si="17"/>
        <v>6.1</v>
      </c>
      <c r="E59" s="165">
        <f t="shared" si="18"/>
        <v>175.2304534280531</v>
      </c>
      <c r="F59" s="165">
        <f t="shared" si="3"/>
        <v>219.03806678506638</v>
      </c>
      <c r="G59" s="167">
        <f t="shared" si="20"/>
        <v>7.5862861351655582</v>
      </c>
      <c r="H59" s="168">
        <f>4*E55-5*E59</f>
        <v>3.8477328597339238</v>
      </c>
      <c r="I59" s="165">
        <f t="shared" si="4"/>
        <v>210.2765441136637</v>
      </c>
      <c r="J59" s="167">
        <f t="shared" si="19"/>
        <v>-21.441287000552116</v>
      </c>
      <c r="K59" s="168">
        <f t="shared" si="5"/>
        <v>-12.941043978805965</v>
      </c>
      <c r="L59" s="165">
        <f t="shared" si="12"/>
        <v>262.84568014207963</v>
      </c>
      <c r="M59" s="167">
        <f t="shared" si="23"/>
        <v>4.3999134613262755E-2</v>
      </c>
      <c r="N59" s="168">
        <f t="shared" si="13"/>
        <v>1.3360561423723993E-2</v>
      </c>
      <c r="O59" s="165">
        <f t="shared" si="21"/>
        <v>233.64060457073745</v>
      </c>
      <c r="P59" s="167">
        <f t="shared" si="22"/>
        <v>5.5000865387819953E-2</v>
      </c>
      <c r="Q59" s="168">
        <f t="shared" si="10"/>
        <v>2.226846146720618E-2</v>
      </c>
      <c r="R59" s="165">
        <f t="shared" si="26"/>
        <v>292.05075571342184</v>
      </c>
      <c r="S59" s="167">
        <f t="shared" si="25"/>
        <v>12.341287000553264</v>
      </c>
      <c r="T59" s="168">
        <f t="shared" si="27"/>
        <v>6.2680598271225563</v>
      </c>
    </row>
    <row r="60" spans="1:20" s="6" customFormat="1" x14ac:dyDescent="0.3">
      <c r="A60" s="169" t="s">
        <v>8</v>
      </c>
      <c r="B60" s="170">
        <v>3</v>
      </c>
      <c r="C60" s="165">
        <f t="shared" si="24"/>
        <v>164.81377845643482</v>
      </c>
      <c r="D60" s="166">
        <f t="shared" si="17"/>
        <v>-2.843</v>
      </c>
      <c r="E60" s="165">
        <f t="shared" si="18"/>
        <v>164.5433464786596</v>
      </c>
      <c r="F60" s="165">
        <f t="shared" si="3"/>
        <v>205.6791830983245</v>
      </c>
      <c r="G60" s="167">
        <f t="shared" si="20"/>
        <v>16.829286135165443</v>
      </c>
      <c r="H60" s="168">
        <f t="shared" si="7"/>
        <v>8.0366088783121086</v>
      </c>
      <c r="I60" s="165">
        <f t="shared" si="4"/>
        <v>197.45201577439153</v>
      </c>
      <c r="J60" s="167">
        <f t="shared" si="19"/>
        <v>-7.2982870005527714</v>
      </c>
      <c r="K60" s="168">
        <f t="shared" si="5"/>
        <v>-4.1531884003588857</v>
      </c>
      <c r="L60" s="165">
        <f t="shared" si="12"/>
        <v>246.8150197179894</v>
      </c>
      <c r="M60" s="167">
        <f t="shared" si="23"/>
        <v>-8.6538721848522665E-7</v>
      </c>
      <c r="N60" s="168">
        <f t="shared" si="13"/>
        <v>-2.4674949372638366E-7</v>
      </c>
      <c r="O60" s="165">
        <f t="shared" si="21"/>
        <v>219.39112863821279</v>
      </c>
      <c r="P60" s="167">
        <f t="shared" si="22"/>
        <v>4.7980008653876078</v>
      </c>
      <c r="Q60" s="168">
        <f>3*$E55-4*$E60</f>
        <v>1.8266140853611432</v>
      </c>
      <c r="R60" s="165">
        <f t="shared" si="26"/>
        <v>274.23891079776604</v>
      </c>
      <c r="S60" s="167">
        <f t="shared" si="25"/>
        <v>16.808287000552916</v>
      </c>
      <c r="T60" s="168">
        <f t="shared" si="27"/>
        <v>8.0265322538072041</v>
      </c>
    </row>
    <row r="61" spans="1:20" s="6" customFormat="1" x14ac:dyDescent="0.3">
      <c r="A61" s="169" t="s">
        <v>9</v>
      </c>
      <c r="B61" s="170">
        <v>3</v>
      </c>
      <c r="C61" s="165">
        <f t="shared" si="24"/>
        <v>155.56349186104032</v>
      </c>
      <c r="D61" s="166">
        <f t="shared" si="17"/>
        <v>2.2000000000000002</v>
      </c>
      <c r="E61" s="165">
        <f t="shared" si="18"/>
        <v>155.76130291284522</v>
      </c>
      <c r="F61" s="165">
        <f t="shared" si="3"/>
        <v>194.70162864105652</v>
      </c>
      <c r="G61" s="167">
        <f t="shared" si="20"/>
        <v>16.986286135165365</v>
      </c>
      <c r="H61" s="168">
        <f t="shared" si="7"/>
        <v>7.678997813052888</v>
      </c>
      <c r="I61" s="165">
        <f t="shared" si="4"/>
        <v>186.91356349541425</v>
      </c>
      <c r="J61" s="167">
        <f t="shared" si="19"/>
        <v>-21.472287000552463</v>
      </c>
      <c r="K61" s="168">
        <f t="shared" si="5"/>
        <v>-11.51974518555312</v>
      </c>
      <c r="L61" s="165">
        <f t="shared" si="12"/>
        <v>233.64195436926784</v>
      </c>
      <c r="M61" s="167">
        <f t="shared" si="23"/>
        <v>4.4999134612723299E-2</v>
      </c>
      <c r="N61" s="168">
        <f t="shared" si="13"/>
        <v>1.2146043917425686E-2</v>
      </c>
      <c r="O61" s="165">
        <f t="shared" si="21"/>
        <v>207.68173721712697</v>
      </c>
      <c r="P61" s="167">
        <f t="shared" si="22"/>
        <v>5.5000865387819953E-2</v>
      </c>
      <c r="Q61" s="168">
        <f t="shared" si="10"/>
        <v>1.9794302326658908E-2</v>
      </c>
      <c r="R61" s="165">
        <f t="shared" si="26"/>
        <v>259.60217152140871</v>
      </c>
      <c r="S61" s="167">
        <f t="shared" si="25"/>
        <v>21.540287000553061</v>
      </c>
      <c r="T61" s="168">
        <f t="shared" si="27"/>
        <v>9.7505667041484685</v>
      </c>
    </row>
    <row r="62" spans="1:20" s="6" customFormat="1" x14ac:dyDescent="0.3">
      <c r="A62" s="169" t="s">
        <v>10</v>
      </c>
      <c r="B62" s="170">
        <v>3</v>
      </c>
      <c r="C62" s="165">
        <f t="shared" si="24"/>
        <v>146.83238395870364</v>
      </c>
      <c r="D62" s="166">
        <f t="shared" si="17"/>
        <v>2.8</v>
      </c>
      <c r="E62" s="165">
        <f t="shared" si="18"/>
        <v>147.0700544945646</v>
      </c>
      <c r="F62" s="165">
        <f t="shared" si="3"/>
        <v>183.83756811820575</v>
      </c>
      <c r="G62" s="167">
        <f t="shared" si="20"/>
        <v>7.2552861351654121</v>
      </c>
      <c r="H62" s="168">
        <f t="shared" si="7"/>
        <v>3.0881853603915488</v>
      </c>
      <c r="I62" s="165">
        <f t="shared" si="4"/>
        <v>176.48406539347752</v>
      </c>
      <c r="J62" s="167">
        <f t="shared" si="19"/>
        <v>-12.341287000552535</v>
      </c>
      <c r="K62" s="168">
        <f t="shared" si="5"/>
        <v>-6.2680598271221015</v>
      </c>
      <c r="L62" s="165">
        <f t="shared" si="12"/>
        <v>220.6050817418469</v>
      </c>
      <c r="M62" s="167">
        <f t="shared" si="23"/>
        <v>-4.7550008653868998</v>
      </c>
      <c r="N62" s="168">
        <f t="shared" si="13"/>
        <v>-1.2101634836940889</v>
      </c>
      <c r="O62" s="165">
        <f t="shared" si="21"/>
        <v>196.09340599275279</v>
      </c>
      <c r="P62" s="167">
        <f t="shared" si="22"/>
        <v>4.6550008653877919</v>
      </c>
      <c r="Q62" s="168">
        <f t="shared" si="10"/>
        <v>1.5839163047007787</v>
      </c>
      <c r="R62" s="165">
        <f t="shared" si="26"/>
        <v>245.11675749094101</v>
      </c>
      <c r="S62" s="167">
        <f t="shared" si="25"/>
        <v>11.953287000553207</v>
      </c>
      <c r="T62" s="168">
        <f t="shared" si="27"/>
        <v>5.0947863110209255</v>
      </c>
    </row>
    <row r="63" spans="1:20" s="6" customFormat="1" x14ac:dyDescent="0.3">
      <c r="A63" s="169" t="s">
        <v>11</v>
      </c>
      <c r="B63" s="170">
        <v>3</v>
      </c>
      <c r="C63" s="165">
        <f t="shared" si="24"/>
        <v>138.59131548843592</v>
      </c>
      <c r="D63" s="166">
        <f t="shared" si="17"/>
        <v>-1.6759999999999999</v>
      </c>
      <c r="E63" s="165">
        <f t="shared" si="18"/>
        <v>138.45721077451748</v>
      </c>
      <c r="F63" s="165">
        <f t="shared" si="3"/>
        <v>173.07151346814686</v>
      </c>
      <c r="G63" s="167">
        <f t="shared" si="20"/>
        <v>21.462286135164863</v>
      </c>
      <c r="H63" s="168">
        <f t="shared" si="7"/>
        <v>8.6357598396249386</v>
      </c>
      <c r="I63" s="165">
        <f t="shared" si="4"/>
        <v>166.14865292942096</v>
      </c>
      <c r="J63" s="167">
        <f t="shared" si="19"/>
        <v>-16.808287000552273</v>
      </c>
      <c r="K63" s="168">
        <f t="shared" si="5"/>
        <v>-8.0265322538068631</v>
      </c>
      <c r="L63" s="165">
        <f t="shared" si="12"/>
        <v>207.68581616177622</v>
      </c>
      <c r="M63" s="167">
        <f t="shared" si="23"/>
        <v>2.0999134612990474E-2</v>
      </c>
      <c r="N63" s="168">
        <f t="shared" si="13"/>
        <v>5.0383122526227453E-3</v>
      </c>
      <c r="O63" s="165">
        <f t="shared" si="21"/>
        <v>184.60961436602329</v>
      </c>
      <c r="P63" s="167">
        <f t="shared" si="22"/>
        <v>8.6538760246382807E-7</v>
      </c>
      <c r="Q63" s="168">
        <f t="shared" si="10"/>
        <v>2.768409785858239E-7</v>
      </c>
      <c r="R63" s="165">
        <f t="shared" si="26"/>
        <v>230.76201795752914</v>
      </c>
      <c r="S63" s="167">
        <f t="shared" si="25"/>
        <v>21.517287000552969</v>
      </c>
      <c r="T63" s="168">
        <f t="shared" si="27"/>
        <v>8.6580283010921448</v>
      </c>
    </row>
    <row r="64" spans="1:20" s="6" customFormat="1" ht="10.5" thickBot="1" x14ac:dyDescent="0.35">
      <c r="A64" s="171" t="s">
        <v>0</v>
      </c>
      <c r="B64" s="172">
        <v>3</v>
      </c>
      <c r="C64" s="165">
        <f t="shared" si="24"/>
        <v>130.8127826502992</v>
      </c>
      <c r="D64" s="166">
        <f t="shared" si="17"/>
        <v>8.0990000000000002</v>
      </c>
      <c r="E64" s="165">
        <f t="shared" si="18"/>
        <v>131.42618021139569</v>
      </c>
      <c r="F64" s="165">
        <f t="shared" si="3"/>
        <v>164.28272526424462</v>
      </c>
      <c r="G64" s="167">
        <f t="shared" si="20"/>
        <v>2.7442861351655967</v>
      </c>
      <c r="H64" s="168">
        <f t="shared" si="7"/>
        <v>1.0424848576599288</v>
      </c>
      <c r="I64" s="165">
        <f t="shared" si="4"/>
        <v>157.71141625367483</v>
      </c>
      <c r="J64" s="167">
        <f t="shared" si="19"/>
        <v>-21.540287000552116</v>
      </c>
      <c r="K64" s="168">
        <f t="shared" si="5"/>
        <v>-9.7505667041480137</v>
      </c>
      <c r="L64" s="165">
        <f t="shared" si="12"/>
        <v>197.13927031709352</v>
      </c>
      <c r="M64" s="167">
        <f t="shared" si="23"/>
        <v>-4.554000865386838</v>
      </c>
      <c r="N64" s="168">
        <f t="shared" si="13"/>
        <v>-1.0357844455475629</v>
      </c>
      <c r="O64" s="165">
        <f t="shared" si="21"/>
        <v>175.23490694852757</v>
      </c>
      <c r="P64" s="167">
        <f t="shared" si="22"/>
        <v>-4.3999134612092983E-2</v>
      </c>
      <c r="Q64" s="168">
        <f t="shared" si="10"/>
        <v>-1.336056142349662E-2</v>
      </c>
      <c r="R64" s="165">
        <f t="shared" si="26"/>
        <v>219.0436336856595</v>
      </c>
      <c r="S64" s="167">
        <f t="shared" si="25"/>
        <v>7.5422870005531228</v>
      </c>
      <c r="T64" s="168">
        <f t="shared" si="27"/>
        <v>2.869098943021072</v>
      </c>
    </row>
    <row r="65" spans="1:20" x14ac:dyDescent="0.3">
      <c r="A65" s="155" t="s">
        <v>1</v>
      </c>
      <c r="B65" s="156">
        <v>2</v>
      </c>
      <c r="C65" s="157">
        <f t="shared" si="24"/>
        <v>123.4708253140309</v>
      </c>
      <c r="D65" s="158">
        <f t="shared" si="17"/>
        <v>-0.88800000000000001</v>
      </c>
      <c r="E65" s="157">
        <f t="shared" si="18"/>
        <v>123.40750979730727</v>
      </c>
      <c r="F65" s="157">
        <f t="shared" si="3"/>
        <v>154.25938724663408</v>
      </c>
      <c r="G65" s="160">
        <f t="shared" si="20"/>
        <v>16.774286135165937</v>
      </c>
      <c r="H65" s="161">
        <f t="shared" si="7"/>
        <v>6.0076626648445881</v>
      </c>
      <c r="I65" s="157">
        <f t="shared" si="4"/>
        <v>148.08901175676871</v>
      </c>
      <c r="J65" s="160">
        <f t="shared" si="19"/>
        <v>-11.953287000552114</v>
      </c>
      <c r="K65" s="161">
        <f t="shared" si="5"/>
        <v>-5.0947863110205844</v>
      </c>
      <c r="L65" s="157">
        <f t="shared" si="12"/>
        <v>185.1112646959609</v>
      </c>
      <c r="M65" s="160">
        <f t="shared" si="23"/>
        <v>-4.6980008653868</v>
      </c>
      <c r="N65" s="161">
        <f t="shared" si="13"/>
        <v>-1.0033004753145178</v>
      </c>
      <c r="O65" s="157">
        <f t="shared" si="21"/>
        <v>164.54334639640967</v>
      </c>
      <c r="P65" s="160">
        <f t="shared" si="22"/>
        <v>8.6538837128618868E-7</v>
      </c>
      <c r="Q65" s="161">
        <f t="shared" si="10"/>
        <v>2.4674972110005911E-7</v>
      </c>
      <c r="R65" s="161">
        <f t="shared" ref="R65:R71" si="28">(5/3)*E65</f>
        <v>205.67918299551212</v>
      </c>
      <c r="S65" s="160">
        <f t="shared" si="25"/>
        <v>16.829287000553194</v>
      </c>
      <c r="T65" s="161">
        <f t="shared" ref="T65:T91" si="29">3*$E56-5*$E65</f>
        <v>6.027456967171247</v>
      </c>
    </row>
    <row r="66" spans="1:20" x14ac:dyDescent="0.3">
      <c r="A66" s="155" t="s">
        <v>2</v>
      </c>
      <c r="B66" s="156">
        <v>2</v>
      </c>
      <c r="C66" s="157">
        <f t="shared" si="24"/>
        <v>116.54094037952235</v>
      </c>
      <c r="D66" s="158">
        <f t="shared" si="17"/>
        <v>4.2</v>
      </c>
      <c r="E66" s="157">
        <f t="shared" si="18"/>
        <v>116.82401369561322</v>
      </c>
      <c r="F66" s="157">
        <f t="shared" si="3"/>
        <v>146.03001711951651</v>
      </c>
      <c r="G66" s="160">
        <f t="shared" si="20"/>
        <v>12.28628613516565</v>
      </c>
      <c r="H66" s="161">
        <f t="shared" si="7"/>
        <v>4.1601495001923467</v>
      </c>
      <c r="I66" s="157">
        <f t="shared" si="4"/>
        <v>140.18881643473586</v>
      </c>
      <c r="J66" s="160">
        <f t="shared" si="19"/>
        <v>-21.517287000552081</v>
      </c>
      <c r="K66" s="161">
        <f t="shared" si="5"/>
        <v>-8.6580283010919175</v>
      </c>
      <c r="L66" s="157">
        <f t="shared" si="12"/>
        <v>175.23602054341984</v>
      </c>
      <c r="M66" s="160">
        <f t="shared" si="23"/>
        <v>-5.5000865387045961E-2</v>
      </c>
      <c r="N66" s="161">
        <f t="shared" si="13"/>
        <v>-1.1134230733489403E-2</v>
      </c>
      <c r="O66" s="157">
        <f t="shared" si="21"/>
        <v>155.76535159415096</v>
      </c>
      <c r="P66" s="160">
        <f t="shared" si="22"/>
        <v>-4.4999134612046916E-2</v>
      </c>
      <c r="Q66" s="161">
        <f t="shared" si="10"/>
        <v>-1.2146043917198313E-2</v>
      </c>
      <c r="R66" s="161">
        <f t="shared" si="28"/>
        <v>194.7066894926887</v>
      </c>
      <c r="S66" s="160">
        <f t="shared" si="25"/>
        <v>16.941287000553139</v>
      </c>
      <c r="T66" s="161">
        <f t="shared" si="29"/>
        <v>5.7440658048931255</v>
      </c>
    </row>
    <row r="67" spans="1:20" x14ac:dyDescent="0.3">
      <c r="A67" s="155" t="s">
        <v>3</v>
      </c>
      <c r="B67" s="156">
        <v>2</v>
      </c>
      <c r="C67" s="157">
        <f t="shared" si="24"/>
        <v>109.99999999999987</v>
      </c>
      <c r="D67" s="158">
        <f t="shared" si="17"/>
        <v>0</v>
      </c>
      <c r="E67" s="157">
        <f t="shared" si="18"/>
        <v>109.99999999999987</v>
      </c>
      <c r="F67" s="157">
        <f t="shared" si="3"/>
        <v>137.49999999999983</v>
      </c>
      <c r="G67" s="160">
        <f t="shared" si="20"/>
        <v>12.010286135165877</v>
      </c>
      <c r="H67" s="161">
        <f t="shared" si="7"/>
        <v>3.8288430980705925</v>
      </c>
      <c r="I67" s="157">
        <f t="shared" si="4"/>
        <v>131.99999999999983</v>
      </c>
      <c r="J67" s="160">
        <f t="shared" si="19"/>
        <v>-7.5422870005521858</v>
      </c>
      <c r="K67" s="161">
        <f t="shared" si="5"/>
        <v>-2.869098943020731</v>
      </c>
      <c r="L67" s="157">
        <f t="shared" si="12"/>
        <v>164.9999999999998</v>
      </c>
      <c r="M67" s="160">
        <f t="shared" si="23"/>
        <v>-4.798000865386677</v>
      </c>
      <c r="N67" s="161">
        <f t="shared" si="13"/>
        <v>-0.91330704268040108</v>
      </c>
      <c r="O67" s="157">
        <f t="shared" si="21"/>
        <v>146.66666666666649</v>
      </c>
      <c r="P67" s="160">
        <f t="shared" si="22"/>
        <v>4.7550008653879354</v>
      </c>
      <c r="Q67" s="161">
        <f t="shared" si="10"/>
        <v>1.2101634836943163</v>
      </c>
      <c r="R67" s="161">
        <f t="shared" si="28"/>
        <v>183.33333333333312</v>
      </c>
      <c r="S67" s="160">
        <f t="shared" si="25"/>
        <v>12.010287000553166</v>
      </c>
      <c r="T67" s="161">
        <f t="shared" si="29"/>
        <v>3.8288433749115711</v>
      </c>
    </row>
    <row r="68" spans="1:20" x14ac:dyDescent="0.3">
      <c r="A68" s="155" t="s">
        <v>4</v>
      </c>
      <c r="B68" s="156">
        <v>2</v>
      </c>
      <c r="C68" s="157">
        <f t="shared" si="24"/>
        <v>103.82617439498615</v>
      </c>
      <c r="D68" s="158">
        <f t="shared" si="17"/>
        <v>0.3</v>
      </c>
      <c r="E68" s="157">
        <f t="shared" ref="E68:E91" si="30">fundamental*(cent^offset)</f>
        <v>103.84416765895121</v>
      </c>
      <c r="F68" s="157">
        <f t="shared" si="3"/>
        <v>129.80520957368901</v>
      </c>
      <c r="G68" s="160">
        <f t="shared" si="20"/>
        <v>21.485286135165317</v>
      </c>
      <c r="H68" s="161">
        <f t="shared" si="7"/>
        <v>6.4838825508267064</v>
      </c>
      <c r="I68" s="157">
        <f t="shared" si="4"/>
        <v>124.61300119074144</v>
      </c>
      <c r="J68" s="160">
        <f t="shared" si="19"/>
        <v>-16.829287000552419</v>
      </c>
      <c r="K68" s="161">
        <f t="shared" si="5"/>
        <v>-6.027456967170906</v>
      </c>
      <c r="L68" s="157">
        <f t="shared" si="12"/>
        <v>155.7662514884268</v>
      </c>
      <c r="M68" s="160">
        <f t="shared" si="23"/>
        <v>-5.5000865386661532E-2</v>
      </c>
      <c r="N68" s="161">
        <f t="shared" si="13"/>
        <v>-9.8971511631589237E-3</v>
      </c>
      <c r="O68" s="157">
        <f t="shared" si="21"/>
        <v>138.45889021193494</v>
      </c>
      <c r="P68" s="160">
        <f t="shared" si="22"/>
        <v>-2.0999134611968336E-2</v>
      </c>
      <c r="Q68" s="161">
        <f t="shared" si="10"/>
        <v>-5.0383122523953716E-3</v>
      </c>
      <c r="R68" s="161">
        <f t="shared" si="28"/>
        <v>173.07361276491869</v>
      </c>
      <c r="S68" s="160">
        <f t="shared" si="25"/>
        <v>21.441287000552972</v>
      </c>
      <c r="T68" s="161">
        <f t="shared" si="29"/>
        <v>6.4705219894032098</v>
      </c>
    </row>
    <row r="69" spans="1:20" x14ac:dyDescent="0.3">
      <c r="A69" s="155" t="s">
        <v>5</v>
      </c>
      <c r="B69" s="156">
        <v>2</v>
      </c>
      <c r="C69" s="157">
        <f t="shared" si="24"/>
        <v>97.998858995437189</v>
      </c>
      <c r="D69" s="158">
        <f t="shared" si="17"/>
        <v>5.5</v>
      </c>
      <c r="E69" s="157">
        <f t="shared" si="30"/>
        <v>98.310689047159812</v>
      </c>
      <c r="F69" s="157">
        <f t="shared" si="3"/>
        <v>122.88836130894977</v>
      </c>
      <c r="G69" s="160">
        <f t="shared" si="20"/>
        <v>7.2982861351655677</v>
      </c>
      <c r="H69" s="161">
        <f t="shared" si="7"/>
        <v>2.076593953430006</v>
      </c>
      <c r="I69" s="157">
        <f t="shared" si="4"/>
        <v>117.97282685659177</v>
      </c>
      <c r="J69" s="160">
        <f t="shared" si="19"/>
        <v>-16.941287000552038</v>
      </c>
      <c r="K69" s="161">
        <f t="shared" si="5"/>
        <v>-5.7440658048927844</v>
      </c>
      <c r="L69" s="157">
        <f t="shared" si="12"/>
        <v>147.46603357073971</v>
      </c>
      <c r="M69" s="160">
        <f t="shared" si="23"/>
        <v>-4.6550008653865147</v>
      </c>
      <c r="N69" s="161">
        <f t="shared" si="13"/>
        <v>-0.79195815235021882</v>
      </c>
      <c r="O69" s="157">
        <f t="shared" si="21"/>
        <v>131.0809187295464</v>
      </c>
      <c r="P69" s="160">
        <f t="shared" si="22"/>
        <v>4.5540008653881676</v>
      </c>
      <c r="Q69" s="161">
        <f t="shared" si="10"/>
        <v>1.0357844455477903</v>
      </c>
      <c r="R69" s="161">
        <f t="shared" si="28"/>
        <v>163.85114841193302</v>
      </c>
      <c r="S69" s="160">
        <f t="shared" si="25"/>
        <v>7.2982870005538114</v>
      </c>
      <c r="T69" s="161">
        <f t="shared" si="29"/>
        <v>2.0765942001797271</v>
      </c>
    </row>
    <row r="70" spans="1:20" x14ac:dyDescent="0.3">
      <c r="A70" s="155" t="s">
        <v>6</v>
      </c>
      <c r="B70" s="156">
        <v>2</v>
      </c>
      <c r="C70" s="157">
        <f t="shared" si="24"/>
        <v>92.498605677908472</v>
      </c>
      <c r="D70" s="158">
        <f t="shared" si="17"/>
        <v>-3.6309999999999998</v>
      </c>
      <c r="E70" s="157">
        <f t="shared" si="30"/>
        <v>92.304807229151763</v>
      </c>
      <c r="F70" s="157">
        <f t="shared" si="3"/>
        <v>115.38100903643971</v>
      </c>
      <c r="G70" s="160">
        <f t="shared" si="20"/>
        <v>21.517286135165563</v>
      </c>
      <c r="H70" s="161">
        <f t="shared" si="7"/>
        <v>5.7720186366940425</v>
      </c>
      <c r="I70" s="157">
        <f t="shared" si="4"/>
        <v>110.76576867498211</v>
      </c>
      <c r="J70" s="160">
        <f t="shared" si="19"/>
        <v>-12.010287000552005</v>
      </c>
      <c r="K70" s="161">
        <f t="shared" si="5"/>
        <v>-3.8288433749112301</v>
      </c>
      <c r="L70" s="157">
        <f t="shared" si="12"/>
        <v>138.45721084372764</v>
      </c>
      <c r="M70" s="160">
        <f t="shared" si="23"/>
        <v>-8.653864496628653E-7</v>
      </c>
      <c r="N70" s="161">
        <f t="shared" si="13"/>
        <v>-1.3842031876265537E-7</v>
      </c>
      <c r="O70" s="157">
        <f t="shared" si="21"/>
        <v>123.07307630553568</v>
      </c>
      <c r="P70" s="160">
        <f t="shared" si="22"/>
        <v>4.6980008653881917</v>
      </c>
      <c r="Q70" s="161">
        <f t="shared" si="10"/>
        <v>1.0033004753147452</v>
      </c>
      <c r="R70" s="161">
        <f t="shared" si="28"/>
        <v>153.84134538191961</v>
      </c>
      <c r="S70" s="160">
        <f t="shared" si="25"/>
        <v>21.472287000553695</v>
      </c>
      <c r="T70" s="161">
        <f t="shared" si="29"/>
        <v>5.7598725927768442</v>
      </c>
    </row>
    <row r="71" spans="1:20" x14ac:dyDescent="0.3">
      <c r="A71" s="155" t="s">
        <v>7</v>
      </c>
      <c r="B71" s="156">
        <v>2</v>
      </c>
      <c r="C71" s="157">
        <f t="shared" si="24"/>
        <v>87.307057858250843</v>
      </c>
      <c r="D71" s="158">
        <f t="shared" si="17"/>
        <v>6.1</v>
      </c>
      <c r="E71" s="157">
        <f t="shared" si="30"/>
        <v>87.615226714026491</v>
      </c>
      <c r="F71" s="157">
        <f t="shared" si="3"/>
        <v>109.51903339253312</v>
      </c>
      <c r="G71" s="160">
        <f t="shared" si="20"/>
        <v>7.586286135165941</v>
      </c>
      <c r="H71" s="161">
        <f t="shared" si="7"/>
        <v>1.9238664298670187</v>
      </c>
      <c r="I71" s="157">
        <f t="shared" si="4"/>
        <v>105.13827205683178</v>
      </c>
      <c r="J71" s="160">
        <f t="shared" ref="J71:J91" si="31">1200*(LOG($E68/I71)/LOG(octave))</f>
        <v>-21.441287000551927</v>
      </c>
      <c r="K71" s="161">
        <f t="shared" si="5"/>
        <v>-6.4705219894028687</v>
      </c>
      <c r="L71" s="157">
        <f t="shared" si="12"/>
        <v>131.42284007103973</v>
      </c>
      <c r="M71" s="160">
        <f t="shared" si="23"/>
        <v>4.3999134613262755E-2</v>
      </c>
      <c r="N71" s="161">
        <f t="shared" si="13"/>
        <v>6.6802807119188401E-3</v>
      </c>
      <c r="O71" s="157">
        <f t="shared" si="21"/>
        <v>116.82030228536865</v>
      </c>
      <c r="P71" s="160">
        <f t="shared" si="22"/>
        <v>5.5000865388204354E-2</v>
      </c>
      <c r="Q71" s="161">
        <f t="shared" si="10"/>
        <v>1.1134230733716777E-2</v>
      </c>
      <c r="R71" s="161">
        <f t="shared" si="28"/>
        <v>146.02537785671083</v>
      </c>
      <c r="S71" s="160">
        <f t="shared" si="25"/>
        <v>12.341287000553264</v>
      </c>
      <c r="T71" s="161">
        <f t="shared" si="29"/>
        <v>3.134029913561335</v>
      </c>
    </row>
    <row r="72" spans="1:20" x14ac:dyDescent="0.3">
      <c r="A72" s="155" t="s">
        <v>8</v>
      </c>
      <c r="B72" s="156">
        <v>2</v>
      </c>
      <c r="C72" s="157">
        <f t="shared" si="24"/>
        <v>82.406889228217352</v>
      </c>
      <c r="D72" s="158">
        <f t="shared" si="17"/>
        <v>-2.843</v>
      </c>
      <c r="E72" s="157">
        <f t="shared" si="30"/>
        <v>82.271673239329743</v>
      </c>
      <c r="F72" s="157">
        <f t="shared" ref="F72:F91" si="32">E72*1.25</f>
        <v>102.83959154916218</v>
      </c>
      <c r="G72" s="160">
        <f t="shared" si="20"/>
        <v>16.829286135165443</v>
      </c>
      <c r="H72" s="161">
        <f t="shared" si="7"/>
        <v>4.0183044391561111</v>
      </c>
      <c r="I72" s="157">
        <f t="shared" ref="I72:I91" si="33">(6/5)*E72</f>
        <v>98.726007887195692</v>
      </c>
      <c r="J72" s="160">
        <f t="shared" si="31"/>
        <v>-7.2982870005525768</v>
      </c>
      <c r="K72" s="161">
        <f t="shared" ref="K72:K90" si="34">5*$E69-6*$E72</f>
        <v>-2.076594200179386</v>
      </c>
      <c r="L72" s="157">
        <f t="shared" si="12"/>
        <v>123.40750985899462</v>
      </c>
      <c r="M72" s="160">
        <f t="shared" si="23"/>
        <v>-8.6538683407404592E-7</v>
      </c>
      <c r="N72" s="161">
        <f t="shared" si="13"/>
        <v>-1.2337469001977297E-7</v>
      </c>
      <c r="O72" s="157">
        <f t="shared" si="21"/>
        <v>109.69556431910632</v>
      </c>
      <c r="P72" s="160">
        <f t="shared" si="22"/>
        <v>4.7980008653879898</v>
      </c>
      <c r="Q72" s="161">
        <f t="shared" si="10"/>
        <v>0.91330704268062846</v>
      </c>
      <c r="R72" s="161">
        <f t="shared" ref="R72:R91" si="35">(5/3)*E72</f>
        <v>137.11945539888291</v>
      </c>
      <c r="S72" s="160">
        <f t="shared" si="25"/>
        <v>16.808287000553676</v>
      </c>
      <c r="T72" s="161">
        <f t="shared" si="29"/>
        <v>4.0132661269037158</v>
      </c>
    </row>
    <row r="73" spans="1:20" x14ac:dyDescent="0.3">
      <c r="A73" s="155" t="s">
        <v>9</v>
      </c>
      <c r="B73" s="156">
        <v>2</v>
      </c>
      <c r="C73" s="157">
        <f t="shared" si="24"/>
        <v>77.781745930520103</v>
      </c>
      <c r="D73" s="158">
        <f t="shared" si="17"/>
        <v>2.2000000000000002</v>
      </c>
      <c r="E73" s="157">
        <f t="shared" si="30"/>
        <v>77.880651456422555</v>
      </c>
      <c r="F73" s="157">
        <f t="shared" si="32"/>
        <v>97.350814320528201</v>
      </c>
      <c r="G73" s="160">
        <f t="shared" ref="G73:G91" si="36">1200*(LOG(E69/F73)/LOG(octave))</f>
        <v>16.986286135165365</v>
      </c>
      <c r="H73" s="161">
        <f t="shared" ref="H73:H90" si="37">4*E69-5*E73</f>
        <v>3.839498906526444</v>
      </c>
      <c r="I73" s="157">
        <f t="shared" si="33"/>
        <v>93.456781747707069</v>
      </c>
      <c r="J73" s="160">
        <f t="shared" si="31"/>
        <v>-21.472287000552463</v>
      </c>
      <c r="K73" s="161">
        <f t="shared" si="34"/>
        <v>-5.7598725927765031</v>
      </c>
      <c r="L73" s="157">
        <f t="shared" si="12"/>
        <v>116.82097718463383</v>
      </c>
      <c r="M73" s="160">
        <f t="shared" si="23"/>
        <v>4.4999134613492094E-2</v>
      </c>
      <c r="N73" s="161">
        <f t="shared" si="13"/>
        <v>6.0730219587696865E-3</v>
      </c>
      <c r="O73" s="157">
        <f t="shared" ref="O73:O91" si="38">(4/3)*cfund</f>
        <v>103.8408686085634</v>
      </c>
      <c r="P73" s="160">
        <f t="shared" ref="P73:P91" si="39">1200*(LOG($E68/O73)/LOG(octave))</f>
        <v>5.5000865388204354E-2</v>
      </c>
      <c r="Q73" s="161">
        <f t="shared" si="10"/>
        <v>9.8971511633862974E-3</v>
      </c>
      <c r="R73" s="161">
        <f t="shared" si="35"/>
        <v>129.80108576070427</v>
      </c>
      <c r="S73" s="160">
        <f t="shared" si="25"/>
        <v>21.540287000553441</v>
      </c>
      <c r="T73" s="161">
        <f t="shared" si="29"/>
        <v>4.8752833520742342</v>
      </c>
    </row>
    <row r="74" spans="1:20" x14ac:dyDescent="0.3">
      <c r="A74" s="155" t="s">
        <v>10</v>
      </c>
      <c r="B74" s="156">
        <v>2</v>
      </c>
      <c r="C74" s="157">
        <f t="shared" si="24"/>
        <v>73.416191979351765</v>
      </c>
      <c r="D74" s="158">
        <f t="shared" si="17"/>
        <v>2.8</v>
      </c>
      <c r="E74" s="157">
        <f t="shared" si="30"/>
        <v>73.535027247282244</v>
      </c>
      <c r="F74" s="157">
        <f t="shared" si="32"/>
        <v>91.918784059102805</v>
      </c>
      <c r="G74" s="160">
        <f t="shared" si="36"/>
        <v>7.255286135165794</v>
      </c>
      <c r="H74" s="161">
        <f t="shared" si="37"/>
        <v>1.5440926801958312</v>
      </c>
      <c r="I74" s="157">
        <f t="shared" si="33"/>
        <v>88.24203269673869</v>
      </c>
      <c r="J74" s="160">
        <f t="shared" si="31"/>
        <v>-12.341287000552148</v>
      </c>
      <c r="K74" s="161">
        <f t="shared" si="34"/>
        <v>-3.1340299135609939</v>
      </c>
      <c r="L74" s="157">
        <f t="shared" si="12"/>
        <v>110.30254087092337</v>
      </c>
      <c r="M74" s="160">
        <f t="shared" si="23"/>
        <v>-4.7550008653863216</v>
      </c>
      <c r="N74" s="161">
        <f t="shared" si="13"/>
        <v>-0.6050817418469876</v>
      </c>
      <c r="O74" s="157">
        <f t="shared" si="38"/>
        <v>98.046702996376325</v>
      </c>
      <c r="P74" s="160">
        <f t="shared" si="39"/>
        <v>4.6550008653877919</v>
      </c>
      <c r="Q74" s="161">
        <f t="shared" ref="Q74:Q91" si="40">3*$E69-4*$E74</f>
        <v>0.7919581523504462</v>
      </c>
      <c r="R74" s="161">
        <f t="shared" si="35"/>
        <v>122.55837874547041</v>
      </c>
      <c r="S74" s="160">
        <f t="shared" si="25"/>
        <v>11.953287000553585</v>
      </c>
      <c r="T74" s="161">
        <f t="shared" si="29"/>
        <v>2.5473931555105764</v>
      </c>
    </row>
    <row r="75" spans="1:20" x14ac:dyDescent="0.3">
      <c r="A75" s="155" t="s">
        <v>11</v>
      </c>
      <c r="B75" s="156">
        <v>2</v>
      </c>
      <c r="C75" s="157">
        <f t="shared" si="24"/>
        <v>69.295657744217905</v>
      </c>
      <c r="D75" s="158">
        <f t="shared" si="17"/>
        <v>-1.6759999999999999</v>
      </c>
      <c r="E75" s="157">
        <f t="shared" si="30"/>
        <v>69.228605387258682</v>
      </c>
      <c r="F75" s="157">
        <f t="shared" si="32"/>
        <v>86.535756734073345</v>
      </c>
      <c r="G75" s="160">
        <f t="shared" si="36"/>
        <v>21.462286135165627</v>
      </c>
      <c r="H75" s="161">
        <f t="shared" si="37"/>
        <v>4.317879919812583</v>
      </c>
      <c r="I75" s="157">
        <f t="shared" si="33"/>
        <v>83.07432646471041</v>
      </c>
      <c r="J75" s="160">
        <f t="shared" si="31"/>
        <v>-16.808287000551882</v>
      </c>
      <c r="K75" s="161">
        <f t="shared" si="34"/>
        <v>-4.0132661269033747</v>
      </c>
      <c r="L75" s="157">
        <f t="shared" si="12"/>
        <v>103.84290808088802</v>
      </c>
      <c r="M75" s="160">
        <f t="shared" ref="M75:M91" si="41">1200*(LOG($E68/L75)/LOG(octave))</f>
        <v>2.0999134613374878E-2</v>
      </c>
      <c r="N75" s="161">
        <f t="shared" si="13"/>
        <v>2.5191561263682161E-3</v>
      </c>
      <c r="O75" s="157">
        <f t="shared" si="38"/>
        <v>92.304807183011576</v>
      </c>
      <c r="P75" s="160">
        <f t="shared" si="39"/>
        <v>8.6538798687500838E-7</v>
      </c>
      <c r="Q75" s="161">
        <f t="shared" si="40"/>
        <v>1.3842054613633081E-7</v>
      </c>
      <c r="R75" s="161">
        <f t="shared" si="35"/>
        <v>115.38100897876447</v>
      </c>
      <c r="S75" s="160">
        <f t="shared" si="25"/>
        <v>21.517287000553726</v>
      </c>
      <c r="T75" s="161">
        <f t="shared" si="29"/>
        <v>4.3290141505462998</v>
      </c>
    </row>
    <row r="76" spans="1:20" x14ac:dyDescent="0.3">
      <c r="A76" s="155" t="s">
        <v>0</v>
      </c>
      <c r="B76" s="156">
        <v>2</v>
      </c>
      <c r="C76" s="157">
        <f t="shared" si="24"/>
        <v>65.406391325149542</v>
      </c>
      <c r="D76" s="158">
        <f t="shared" si="17"/>
        <v>8.0990000000000002</v>
      </c>
      <c r="E76" s="157">
        <f t="shared" si="30"/>
        <v>65.713090105697788</v>
      </c>
      <c r="F76" s="157">
        <f t="shared" si="32"/>
        <v>82.141362632122238</v>
      </c>
      <c r="G76" s="160">
        <f t="shared" si="36"/>
        <v>2.74428613516598</v>
      </c>
      <c r="H76" s="161">
        <f t="shared" si="37"/>
        <v>0.52124242883002125</v>
      </c>
      <c r="I76" s="157">
        <f t="shared" si="33"/>
        <v>78.855708126837342</v>
      </c>
      <c r="J76" s="160">
        <f t="shared" si="31"/>
        <v>-21.54028700055192</v>
      </c>
      <c r="K76" s="161">
        <f t="shared" si="34"/>
        <v>-4.8752833520738932</v>
      </c>
      <c r="L76" s="157">
        <f t="shared" ref="L76:L91" si="42">(3/2)*E76</f>
        <v>98.569635158546674</v>
      </c>
      <c r="M76" s="160">
        <f t="shared" si="41"/>
        <v>-4.5540008653864525</v>
      </c>
      <c r="N76" s="161">
        <f t="shared" ref="N76:N91" si="43">2*$E69-3*$E76</f>
        <v>-0.5178922227737246</v>
      </c>
      <c r="O76" s="157">
        <f t="shared" si="38"/>
        <v>87.617453474263712</v>
      </c>
      <c r="P76" s="160">
        <f t="shared" si="39"/>
        <v>-4.3999134611708568E-2</v>
      </c>
      <c r="Q76" s="161">
        <f t="shared" si="40"/>
        <v>-6.6802807116914664E-3</v>
      </c>
      <c r="R76" s="161">
        <f t="shared" si="35"/>
        <v>109.52181684282965</v>
      </c>
      <c r="S76" s="160">
        <f t="shared" si="25"/>
        <v>7.5422870005538876</v>
      </c>
      <c r="T76" s="161">
        <f t="shared" si="29"/>
        <v>1.4345494715106497</v>
      </c>
    </row>
    <row r="77" spans="1:20" x14ac:dyDescent="0.3">
      <c r="A77" s="155" t="s">
        <v>1</v>
      </c>
      <c r="B77" s="156">
        <v>1</v>
      </c>
      <c r="C77" s="157">
        <f t="shared" si="24"/>
        <v>61.735412657015402</v>
      </c>
      <c r="D77" s="158">
        <f t="shared" si="17"/>
        <v>-0.88800000000000001</v>
      </c>
      <c r="E77" s="157">
        <f t="shared" si="30"/>
        <v>61.703754898653585</v>
      </c>
      <c r="F77" s="157">
        <f t="shared" si="32"/>
        <v>77.129693623316982</v>
      </c>
      <c r="G77" s="160">
        <f t="shared" si="36"/>
        <v>16.774286135165937</v>
      </c>
      <c r="H77" s="161">
        <f t="shared" si="37"/>
        <v>3.0038313324222941</v>
      </c>
      <c r="I77" s="157">
        <f t="shared" si="33"/>
        <v>74.0445058783843</v>
      </c>
      <c r="J77" s="160">
        <f t="shared" si="31"/>
        <v>-11.953287000552114</v>
      </c>
      <c r="K77" s="161">
        <f t="shared" si="34"/>
        <v>-2.5473931555102922</v>
      </c>
      <c r="L77" s="157">
        <f t="shared" si="42"/>
        <v>92.555632347980378</v>
      </c>
      <c r="M77" s="160">
        <f t="shared" si="41"/>
        <v>-4.6980008653866063</v>
      </c>
      <c r="N77" s="161">
        <f t="shared" si="43"/>
        <v>-0.50165023765723049</v>
      </c>
      <c r="O77" s="157">
        <f t="shared" si="38"/>
        <v>82.27167319820478</v>
      </c>
      <c r="P77" s="160">
        <f t="shared" si="39"/>
        <v>8.6538837128618868E-7</v>
      </c>
      <c r="Q77" s="161">
        <f t="shared" si="40"/>
        <v>1.2337488897173898E-7</v>
      </c>
      <c r="R77" s="161">
        <f t="shared" si="35"/>
        <v>102.83959149775598</v>
      </c>
      <c r="S77" s="160">
        <f t="shared" ref="S77:S91" si="44">1200*(LOG($E68/R77)/LOG(octave))</f>
        <v>16.829287000553958</v>
      </c>
      <c r="T77" s="161">
        <f t="shared" si="29"/>
        <v>3.0137284835856804</v>
      </c>
    </row>
    <row r="78" spans="1:20" x14ac:dyDescent="0.3">
      <c r="A78" s="155" t="s">
        <v>2</v>
      </c>
      <c r="B78" s="156">
        <v>1</v>
      </c>
      <c r="C78" s="157">
        <f t="shared" si="24"/>
        <v>58.270470189761134</v>
      </c>
      <c r="D78" s="158">
        <f t="shared" si="17"/>
        <v>4.2</v>
      </c>
      <c r="E78" s="157">
        <f t="shared" si="30"/>
        <v>58.412006847806566</v>
      </c>
      <c r="F78" s="157">
        <f t="shared" si="32"/>
        <v>73.015008559758201</v>
      </c>
      <c r="G78" s="160">
        <f t="shared" si="36"/>
        <v>12.28628613516565</v>
      </c>
      <c r="H78" s="161">
        <f t="shared" si="37"/>
        <v>2.0800747500961734</v>
      </c>
      <c r="I78" s="157">
        <f t="shared" si="33"/>
        <v>70.094408217367871</v>
      </c>
      <c r="J78" s="160">
        <f t="shared" si="31"/>
        <v>-21.517287000552081</v>
      </c>
      <c r="K78" s="161">
        <f t="shared" si="34"/>
        <v>-4.3290141505460156</v>
      </c>
      <c r="L78" s="157">
        <f t="shared" si="42"/>
        <v>87.618010271709849</v>
      </c>
      <c r="M78" s="160">
        <f t="shared" si="41"/>
        <v>-5.5000865386853746E-2</v>
      </c>
      <c r="N78" s="161">
        <f t="shared" si="43"/>
        <v>-5.5671153667162798E-3</v>
      </c>
      <c r="O78" s="157">
        <f t="shared" si="38"/>
        <v>77.882675797075422</v>
      </c>
      <c r="P78" s="160">
        <f t="shared" si="39"/>
        <v>-4.4999134612046916E-2</v>
      </c>
      <c r="Q78" s="161">
        <f t="shared" si="40"/>
        <v>-6.0730219585991563E-3</v>
      </c>
      <c r="R78" s="161">
        <f t="shared" si="35"/>
        <v>97.353344746344277</v>
      </c>
      <c r="S78" s="160">
        <f t="shared" si="44"/>
        <v>16.941287000553519</v>
      </c>
      <c r="T78" s="161">
        <f t="shared" si="29"/>
        <v>2.8720329024466196</v>
      </c>
    </row>
    <row r="79" spans="1:20" x14ac:dyDescent="0.3">
      <c r="A79" s="155" t="s">
        <v>3</v>
      </c>
      <c r="B79" s="156">
        <v>1</v>
      </c>
      <c r="C79" s="157">
        <f t="shared" si="24"/>
        <v>54.999999999999901</v>
      </c>
      <c r="D79" s="158">
        <f t="shared" si="17"/>
        <v>0</v>
      </c>
      <c r="E79" s="157">
        <f t="shared" si="30"/>
        <v>54.999999999999901</v>
      </c>
      <c r="F79" s="157">
        <f t="shared" si="32"/>
        <v>68.749999999999872</v>
      </c>
      <c r="G79" s="160">
        <f t="shared" si="36"/>
        <v>12.010286135165495</v>
      </c>
      <c r="H79" s="161">
        <f t="shared" si="37"/>
        <v>1.9144215490352394</v>
      </c>
      <c r="I79" s="157">
        <f t="shared" si="33"/>
        <v>65.999999999999872</v>
      </c>
      <c r="J79" s="160">
        <f t="shared" si="31"/>
        <v>-7.5422870005525713</v>
      </c>
      <c r="K79" s="161">
        <f t="shared" si="34"/>
        <v>-1.4345494715104792</v>
      </c>
      <c r="L79" s="157">
        <f t="shared" si="42"/>
        <v>82.499999999999858</v>
      </c>
      <c r="M79" s="160">
        <f t="shared" si="41"/>
        <v>-4.7980008653870625</v>
      </c>
      <c r="N79" s="161">
        <f t="shared" si="43"/>
        <v>-0.45665352134022896</v>
      </c>
      <c r="O79" s="157">
        <f t="shared" si="38"/>
        <v>73.333333333333201</v>
      </c>
      <c r="P79" s="160">
        <f t="shared" si="39"/>
        <v>4.7550008653875508</v>
      </c>
      <c r="Q79" s="161">
        <f t="shared" si="40"/>
        <v>0.60508174184712971</v>
      </c>
      <c r="R79" s="161">
        <f t="shared" si="35"/>
        <v>91.666666666666501</v>
      </c>
      <c r="S79" s="160">
        <f t="shared" si="44"/>
        <v>12.010287000553166</v>
      </c>
      <c r="T79" s="161">
        <f t="shared" si="29"/>
        <v>1.9144216874557856</v>
      </c>
    </row>
    <row r="80" spans="1:20" x14ac:dyDescent="0.3">
      <c r="A80" s="155" t="s">
        <v>4</v>
      </c>
      <c r="B80" s="156">
        <v>1</v>
      </c>
      <c r="C80" s="157">
        <f t="shared" si="24"/>
        <v>51.913087197493049</v>
      </c>
      <c r="D80" s="158">
        <f t="shared" si="17"/>
        <v>0.3</v>
      </c>
      <c r="E80" s="157">
        <f t="shared" si="30"/>
        <v>51.922083829475575</v>
      </c>
      <c r="F80" s="157">
        <f t="shared" si="32"/>
        <v>64.902604786844464</v>
      </c>
      <c r="G80" s="160">
        <f t="shared" si="36"/>
        <v>21.485286135164934</v>
      </c>
      <c r="H80" s="161">
        <f t="shared" si="37"/>
        <v>3.2419412754132964</v>
      </c>
      <c r="I80" s="157">
        <f t="shared" si="33"/>
        <v>62.306500595370686</v>
      </c>
      <c r="J80" s="160">
        <f t="shared" si="31"/>
        <v>-16.829287000552807</v>
      </c>
      <c r="K80" s="161">
        <f t="shared" si="34"/>
        <v>-3.0137284835855098</v>
      </c>
      <c r="L80" s="157">
        <f t="shared" si="42"/>
        <v>77.883125744213359</v>
      </c>
      <c r="M80" s="160">
        <f t="shared" si="41"/>
        <v>-5.5000865387045961E-2</v>
      </c>
      <c r="N80" s="161">
        <f t="shared" si="43"/>
        <v>-4.9485755816078836E-3</v>
      </c>
      <c r="O80" s="157">
        <f t="shared" si="38"/>
        <v>69.229445105967429</v>
      </c>
      <c r="P80" s="160">
        <f t="shared" si="39"/>
        <v>-2.0999134612352751E-2</v>
      </c>
      <c r="Q80" s="161">
        <f t="shared" si="40"/>
        <v>-2.5191561262545292E-3</v>
      </c>
      <c r="R80" s="161">
        <f t="shared" si="35"/>
        <v>86.536806382459289</v>
      </c>
      <c r="S80" s="160">
        <f t="shared" si="44"/>
        <v>21.441287000552972</v>
      </c>
      <c r="T80" s="161">
        <f t="shared" si="29"/>
        <v>3.2352609947016049</v>
      </c>
    </row>
    <row r="81" spans="1:20" x14ac:dyDescent="0.3">
      <c r="A81" s="155" t="s">
        <v>5</v>
      </c>
      <c r="B81" s="156">
        <v>1</v>
      </c>
      <c r="C81" s="157">
        <f t="shared" si="24"/>
        <v>48.999429497718573</v>
      </c>
      <c r="D81" s="158">
        <f t="shared" ref="D81:D91" si="45">D69</f>
        <v>5.5</v>
      </c>
      <c r="E81" s="157">
        <f t="shared" si="30"/>
        <v>49.155344523579885</v>
      </c>
      <c r="F81" s="157">
        <f t="shared" si="32"/>
        <v>61.444180654474856</v>
      </c>
      <c r="G81" s="160">
        <f t="shared" si="36"/>
        <v>7.2982861351651849</v>
      </c>
      <c r="H81" s="161">
        <f t="shared" si="37"/>
        <v>1.0382969767149177</v>
      </c>
      <c r="I81" s="157">
        <f t="shared" si="33"/>
        <v>58.986413428295862</v>
      </c>
      <c r="J81" s="160">
        <f t="shared" si="31"/>
        <v>-16.941287000552617</v>
      </c>
      <c r="K81" s="161">
        <f t="shared" si="34"/>
        <v>-2.8720329024465059</v>
      </c>
      <c r="L81" s="157">
        <f t="shared" si="42"/>
        <v>73.733016785369827</v>
      </c>
      <c r="M81" s="160">
        <f t="shared" si="41"/>
        <v>-4.6550008653870929</v>
      </c>
      <c r="N81" s="161">
        <f t="shared" si="43"/>
        <v>-0.39597907617516626</v>
      </c>
      <c r="O81" s="157">
        <f t="shared" si="38"/>
        <v>65.54045936477317</v>
      </c>
      <c r="P81" s="160">
        <f t="shared" si="39"/>
        <v>4.5540008653874011</v>
      </c>
      <c r="Q81" s="161">
        <f t="shared" si="40"/>
        <v>0.51789222277380986</v>
      </c>
      <c r="R81" s="161">
        <f t="shared" si="35"/>
        <v>81.925574205966484</v>
      </c>
      <c r="S81" s="160">
        <f t="shared" si="44"/>
        <v>7.2982870005530449</v>
      </c>
      <c r="T81" s="161">
        <f t="shared" si="29"/>
        <v>1.0382971000898067</v>
      </c>
    </row>
    <row r="82" spans="1:20" x14ac:dyDescent="0.3">
      <c r="A82" s="155" t="s">
        <v>6</v>
      </c>
      <c r="B82" s="156">
        <v>1</v>
      </c>
      <c r="C82" s="157">
        <f t="shared" si="24"/>
        <v>46.249302838954215</v>
      </c>
      <c r="D82" s="158">
        <f t="shared" si="45"/>
        <v>-3.6309999999999998</v>
      </c>
      <c r="E82" s="157">
        <f t="shared" si="30"/>
        <v>46.15240361457586</v>
      </c>
      <c r="F82" s="157">
        <f t="shared" si="32"/>
        <v>57.690504518219825</v>
      </c>
      <c r="G82" s="160">
        <f t="shared" si="36"/>
        <v>21.517286135165179</v>
      </c>
      <c r="H82" s="161">
        <f t="shared" si="37"/>
        <v>2.8860093183469644</v>
      </c>
      <c r="I82" s="157">
        <f t="shared" si="33"/>
        <v>55.382884337491028</v>
      </c>
      <c r="J82" s="160">
        <f t="shared" si="31"/>
        <v>-12.010287000552198</v>
      </c>
      <c r="K82" s="161">
        <f t="shared" si="34"/>
        <v>-1.9144216874556719</v>
      </c>
      <c r="L82" s="157">
        <f t="shared" si="42"/>
        <v>69.22860542186379</v>
      </c>
      <c r="M82" s="160">
        <f t="shared" si="41"/>
        <v>-8.6538702627963634E-7</v>
      </c>
      <c r="N82" s="161">
        <f t="shared" si="43"/>
        <v>-6.9210216224746546E-8</v>
      </c>
      <c r="O82" s="157">
        <f t="shared" si="38"/>
        <v>61.536538152767811</v>
      </c>
      <c r="P82" s="160">
        <f t="shared" si="39"/>
        <v>4.6980008653874243</v>
      </c>
      <c r="Q82" s="161">
        <f t="shared" si="40"/>
        <v>0.50165023765731576</v>
      </c>
      <c r="R82" s="161">
        <f t="shared" si="35"/>
        <v>76.920672690959776</v>
      </c>
      <c r="S82" s="160">
        <f t="shared" si="44"/>
        <v>21.472287000552935</v>
      </c>
      <c r="T82" s="161">
        <f t="shared" si="29"/>
        <v>2.8799362963883652</v>
      </c>
    </row>
    <row r="83" spans="1:20" x14ac:dyDescent="0.3">
      <c r="A83" s="155" t="s">
        <v>7</v>
      </c>
      <c r="B83" s="156">
        <v>1</v>
      </c>
      <c r="C83" s="157">
        <f t="shared" si="24"/>
        <v>43.6535289291254</v>
      </c>
      <c r="D83" s="158">
        <f t="shared" si="45"/>
        <v>6.1</v>
      </c>
      <c r="E83" s="157">
        <f t="shared" si="30"/>
        <v>43.807613357013224</v>
      </c>
      <c r="F83" s="157">
        <f t="shared" si="32"/>
        <v>54.75951669626653</v>
      </c>
      <c r="G83" s="160">
        <f t="shared" si="36"/>
        <v>7.5862861351655582</v>
      </c>
      <c r="H83" s="161">
        <f t="shared" si="37"/>
        <v>0.96193321493348094</v>
      </c>
      <c r="I83" s="157">
        <f t="shared" si="33"/>
        <v>52.569136028415869</v>
      </c>
      <c r="J83" s="160">
        <f t="shared" si="31"/>
        <v>-21.441287000552116</v>
      </c>
      <c r="K83" s="161">
        <f t="shared" si="34"/>
        <v>-3.2352609947014912</v>
      </c>
      <c r="L83" s="157">
        <f t="shared" si="42"/>
        <v>65.711420035519836</v>
      </c>
      <c r="M83" s="160">
        <f t="shared" si="41"/>
        <v>4.3999134612878354E-2</v>
      </c>
      <c r="N83" s="161">
        <f t="shared" si="43"/>
        <v>3.3401403559025766E-3</v>
      </c>
      <c r="O83" s="157">
        <f t="shared" si="38"/>
        <v>58.410151142684299</v>
      </c>
      <c r="P83" s="160">
        <f t="shared" si="39"/>
        <v>5.5000865387819953E-2</v>
      </c>
      <c r="Q83" s="161">
        <f t="shared" si="40"/>
        <v>5.567115366801545E-3</v>
      </c>
      <c r="R83" s="161">
        <f t="shared" si="35"/>
        <v>73.012688928355374</v>
      </c>
      <c r="S83" s="160">
        <f t="shared" si="44"/>
        <v>12.341287000553264</v>
      </c>
      <c r="T83" s="161">
        <f t="shared" si="29"/>
        <v>1.5670149567806106</v>
      </c>
    </row>
    <row r="84" spans="1:20" x14ac:dyDescent="0.3">
      <c r="A84" s="155" t="s">
        <v>8</v>
      </c>
      <c r="B84" s="156">
        <v>1</v>
      </c>
      <c r="C84" s="157">
        <f t="shared" si="24"/>
        <v>41.203444614108662</v>
      </c>
      <c r="D84" s="158">
        <f t="shared" si="45"/>
        <v>-2.843</v>
      </c>
      <c r="E84" s="157">
        <f t="shared" si="30"/>
        <v>41.135836619664857</v>
      </c>
      <c r="F84" s="157">
        <f t="shared" si="32"/>
        <v>51.419795774581075</v>
      </c>
      <c r="G84" s="160">
        <f t="shared" si="36"/>
        <v>16.829286135165063</v>
      </c>
      <c r="H84" s="161">
        <f t="shared" si="37"/>
        <v>2.0091522195779987</v>
      </c>
      <c r="I84" s="157">
        <f t="shared" si="33"/>
        <v>49.363003943597825</v>
      </c>
      <c r="J84" s="160">
        <f t="shared" si="31"/>
        <v>-7.2982870005525768</v>
      </c>
      <c r="K84" s="161">
        <f t="shared" si="34"/>
        <v>-1.0382971000897214</v>
      </c>
      <c r="L84" s="157">
        <f t="shared" si="42"/>
        <v>61.703754929497286</v>
      </c>
      <c r="M84" s="160">
        <f t="shared" si="41"/>
        <v>-8.6538760289640727E-7</v>
      </c>
      <c r="N84" s="161">
        <f t="shared" si="43"/>
        <v>-6.1687401853305346E-8</v>
      </c>
      <c r="O84" s="157">
        <f t="shared" si="38"/>
        <v>54.847782159553141</v>
      </c>
      <c r="P84" s="160">
        <f t="shared" si="39"/>
        <v>4.7980008653876078</v>
      </c>
      <c r="Q84" s="161">
        <f t="shared" si="40"/>
        <v>0.45665352134028581</v>
      </c>
      <c r="R84" s="161">
        <f t="shared" si="35"/>
        <v>68.559727699441439</v>
      </c>
      <c r="S84" s="160">
        <f t="shared" si="44"/>
        <v>16.808287000552536</v>
      </c>
      <c r="T84" s="161">
        <f t="shared" si="29"/>
        <v>2.0066330634517442</v>
      </c>
    </row>
    <row r="85" spans="1:20" x14ac:dyDescent="0.3">
      <c r="A85" s="155" t="s">
        <v>9</v>
      </c>
      <c r="B85" s="156">
        <v>1</v>
      </c>
      <c r="C85" s="157">
        <f t="shared" si="24"/>
        <v>38.890872965260037</v>
      </c>
      <c r="D85" s="158">
        <f t="shared" si="45"/>
        <v>2.2000000000000002</v>
      </c>
      <c r="E85" s="157">
        <f t="shared" si="30"/>
        <v>38.940325728211263</v>
      </c>
      <c r="F85" s="157">
        <f t="shared" si="32"/>
        <v>48.675407160264079</v>
      </c>
      <c r="G85" s="160">
        <f t="shared" si="36"/>
        <v>16.986286135165365</v>
      </c>
      <c r="H85" s="161">
        <f t="shared" si="37"/>
        <v>1.919749453263222</v>
      </c>
      <c r="I85" s="157">
        <f t="shared" si="33"/>
        <v>46.728390873853513</v>
      </c>
      <c r="J85" s="160">
        <f t="shared" si="31"/>
        <v>-21.472287000552463</v>
      </c>
      <c r="K85" s="161">
        <f t="shared" si="34"/>
        <v>-2.87993629638828</v>
      </c>
      <c r="L85" s="157">
        <f t="shared" si="42"/>
        <v>58.410488592316895</v>
      </c>
      <c r="M85" s="160">
        <f t="shared" si="41"/>
        <v>4.4999134612723299E-2</v>
      </c>
      <c r="N85" s="161">
        <f t="shared" si="43"/>
        <v>3.0365109793422107E-3</v>
      </c>
      <c r="O85" s="157">
        <f t="shared" si="38"/>
        <v>51.920434304281684</v>
      </c>
      <c r="P85" s="160">
        <f t="shared" si="39"/>
        <v>5.5000865387819953E-2</v>
      </c>
      <c r="Q85" s="161">
        <f t="shared" si="40"/>
        <v>4.948575581664727E-3</v>
      </c>
      <c r="R85" s="161">
        <f t="shared" si="35"/>
        <v>64.900542880352106</v>
      </c>
      <c r="S85" s="160">
        <f t="shared" si="44"/>
        <v>21.540287000552681</v>
      </c>
      <c r="T85" s="161">
        <f t="shared" si="29"/>
        <v>2.4376416760370319</v>
      </c>
    </row>
    <row r="86" spans="1:20" x14ac:dyDescent="0.3">
      <c r="A86" s="155" t="s">
        <v>10</v>
      </c>
      <c r="B86" s="156">
        <v>1</v>
      </c>
      <c r="C86" s="157">
        <f t="shared" si="24"/>
        <v>36.708095989675869</v>
      </c>
      <c r="D86" s="158">
        <f t="shared" si="45"/>
        <v>2.8</v>
      </c>
      <c r="E86" s="157">
        <f t="shared" si="30"/>
        <v>36.767513623641108</v>
      </c>
      <c r="F86" s="157">
        <f t="shared" si="32"/>
        <v>45.959392029551381</v>
      </c>
      <c r="G86" s="160">
        <f t="shared" si="36"/>
        <v>7.255286135165794</v>
      </c>
      <c r="H86" s="161">
        <f t="shared" si="37"/>
        <v>0.77204634009791562</v>
      </c>
      <c r="I86" s="157">
        <f t="shared" si="33"/>
        <v>44.121016348369331</v>
      </c>
      <c r="J86" s="160">
        <f t="shared" si="31"/>
        <v>-12.341287000552535</v>
      </c>
      <c r="K86" s="161">
        <f t="shared" si="34"/>
        <v>-1.5670149567805254</v>
      </c>
      <c r="L86" s="157">
        <f t="shared" si="42"/>
        <v>55.151270435461662</v>
      </c>
      <c r="M86" s="160">
        <f t="shared" si="41"/>
        <v>-4.7550008653868998</v>
      </c>
      <c r="N86" s="161">
        <f t="shared" si="43"/>
        <v>-0.30254087092352222</v>
      </c>
      <c r="O86" s="157">
        <f t="shared" si="38"/>
        <v>49.023351498188141</v>
      </c>
      <c r="P86" s="160">
        <f t="shared" si="39"/>
        <v>4.6550008653877919</v>
      </c>
      <c r="Q86" s="161">
        <f t="shared" si="40"/>
        <v>0.3959790761752231</v>
      </c>
      <c r="R86" s="161">
        <f t="shared" si="35"/>
        <v>61.279189372735182</v>
      </c>
      <c r="S86" s="160">
        <f t="shared" si="44"/>
        <v>11.953287000552823</v>
      </c>
      <c r="T86" s="161">
        <f t="shared" si="29"/>
        <v>1.2736965777552314</v>
      </c>
    </row>
    <row r="87" spans="1:20" x14ac:dyDescent="0.3">
      <c r="A87" s="155" t="s">
        <v>11</v>
      </c>
      <c r="B87" s="156">
        <v>1</v>
      </c>
      <c r="C87" s="157">
        <f t="shared" si="24"/>
        <v>34.647828872108938</v>
      </c>
      <c r="D87" s="158">
        <f t="shared" si="45"/>
        <v>-1.6759999999999999</v>
      </c>
      <c r="E87" s="157">
        <f t="shared" si="30"/>
        <v>34.614302693629327</v>
      </c>
      <c r="F87" s="157">
        <f t="shared" si="32"/>
        <v>43.267878367036658</v>
      </c>
      <c r="G87" s="160">
        <f t="shared" si="36"/>
        <v>21.462286135165247</v>
      </c>
      <c r="H87" s="161">
        <f t="shared" si="37"/>
        <v>2.1589399599062631</v>
      </c>
      <c r="I87" s="157">
        <f t="shared" si="33"/>
        <v>41.537163232355191</v>
      </c>
      <c r="J87" s="160">
        <f t="shared" si="31"/>
        <v>-16.808287000551882</v>
      </c>
      <c r="K87" s="161">
        <f t="shared" si="34"/>
        <v>-2.0066330634516589</v>
      </c>
      <c r="L87" s="157">
        <f t="shared" si="42"/>
        <v>51.92145404044399</v>
      </c>
      <c r="M87" s="160">
        <f t="shared" si="41"/>
        <v>2.0999134613374878E-2</v>
      </c>
      <c r="N87" s="161">
        <f t="shared" si="43"/>
        <v>1.2595780631698972E-3</v>
      </c>
      <c r="O87" s="157">
        <f t="shared" si="38"/>
        <v>46.152403591505767</v>
      </c>
      <c r="P87" s="160">
        <f t="shared" si="39"/>
        <v>8.6538798687500838E-7</v>
      </c>
      <c r="Q87" s="161">
        <f t="shared" si="40"/>
        <v>6.9210273068165407E-8</v>
      </c>
      <c r="R87" s="161">
        <f t="shared" si="35"/>
        <v>57.690504489382214</v>
      </c>
      <c r="S87" s="160">
        <f t="shared" si="44"/>
        <v>21.517287000552969</v>
      </c>
      <c r="T87" s="161">
        <f t="shared" si="29"/>
        <v>2.1645070752730646</v>
      </c>
    </row>
    <row r="88" spans="1:20" x14ac:dyDescent="0.3">
      <c r="A88" s="155" t="s">
        <v>0</v>
      </c>
      <c r="B88" s="156">
        <v>1</v>
      </c>
      <c r="C88" s="157">
        <f t="shared" si="24"/>
        <v>32.703195662574757</v>
      </c>
      <c r="D88" s="158">
        <f t="shared" si="45"/>
        <v>8.0990000000000002</v>
      </c>
      <c r="E88" s="157">
        <f t="shared" si="30"/>
        <v>32.85654505284888</v>
      </c>
      <c r="F88" s="157">
        <f t="shared" si="32"/>
        <v>41.070681316061098</v>
      </c>
      <c r="G88" s="160">
        <f t="shared" si="36"/>
        <v>2.7442861351663637</v>
      </c>
      <c r="H88" s="161">
        <f t="shared" si="37"/>
        <v>0.26062121441503905</v>
      </c>
      <c r="I88" s="157">
        <f t="shared" si="33"/>
        <v>39.427854063418657</v>
      </c>
      <c r="J88" s="160">
        <f t="shared" si="31"/>
        <v>-21.54028700055192</v>
      </c>
      <c r="K88" s="161">
        <f t="shared" si="34"/>
        <v>-2.437641676036975</v>
      </c>
      <c r="L88" s="157">
        <f t="shared" si="42"/>
        <v>49.284817579273323</v>
      </c>
      <c r="M88" s="160">
        <f t="shared" si="41"/>
        <v>-4.5540008653866453</v>
      </c>
      <c r="N88" s="161">
        <f t="shared" si="43"/>
        <v>-0.25894611138687651</v>
      </c>
      <c r="O88" s="157">
        <f t="shared" si="38"/>
        <v>43.808726737131835</v>
      </c>
      <c r="P88" s="160">
        <f t="shared" si="39"/>
        <v>-4.3999134611708568E-2</v>
      </c>
      <c r="Q88" s="161">
        <f t="shared" si="40"/>
        <v>-3.3401403558457332E-3</v>
      </c>
      <c r="R88" s="161">
        <f t="shared" si="35"/>
        <v>54.760908421414804</v>
      </c>
      <c r="S88" s="160">
        <f t="shared" si="44"/>
        <v>7.5422870005535048</v>
      </c>
      <c r="T88" s="161">
        <f t="shared" si="29"/>
        <v>0.71727473575532485</v>
      </c>
    </row>
    <row r="89" spans="1:20" x14ac:dyDescent="0.3">
      <c r="A89" s="155" t="s">
        <v>1</v>
      </c>
      <c r="B89" s="156">
        <v>0</v>
      </c>
      <c r="C89" s="157">
        <f t="shared" si="24"/>
        <v>30.867706328507687</v>
      </c>
      <c r="D89" s="158">
        <f t="shared" si="45"/>
        <v>-0.88800000000000001</v>
      </c>
      <c r="E89" s="157">
        <f t="shared" si="30"/>
        <v>30.851877449326778</v>
      </c>
      <c r="F89" s="157">
        <f t="shared" si="32"/>
        <v>38.56484681165847</v>
      </c>
      <c r="G89" s="160">
        <f t="shared" si="36"/>
        <v>16.774286135165937</v>
      </c>
      <c r="H89" s="161">
        <f t="shared" si="37"/>
        <v>1.5019156662111754</v>
      </c>
      <c r="I89" s="157">
        <f t="shared" si="33"/>
        <v>37.022252939192136</v>
      </c>
      <c r="J89" s="160">
        <f t="shared" si="31"/>
        <v>-11.953287000552114</v>
      </c>
      <c r="K89" s="161">
        <f t="shared" si="34"/>
        <v>-1.2736965777551461</v>
      </c>
      <c r="L89" s="157">
        <f t="shared" si="42"/>
        <v>46.277816173990168</v>
      </c>
      <c r="M89" s="160">
        <f t="shared" si="41"/>
        <v>-4.6980008653866063</v>
      </c>
      <c r="N89" s="161">
        <f t="shared" si="43"/>
        <v>-0.25082511882861525</v>
      </c>
      <c r="O89" s="157">
        <f t="shared" si="38"/>
        <v>41.135836599102369</v>
      </c>
      <c r="P89" s="160">
        <f t="shared" si="39"/>
        <v>8.6538837128618868E-7</v>
      </c>
      <c r="Q89" s="161">
        <f t="shared" si="40"/>
        <v>6.1687458696724207E-8</v>
      </c>
      <c r="R89" s="161">
        <f t="shared" si="35"/>
        <v>51.419795748877966</v>
      </c>
      <c r="S89" s="160">
        <f t="shared" si="44"/>
        <v>16.829287000553574</v>
      </c>
      <c r="T89" s="161">
        <f t="shared" si="29"/>
        <v>1.5068642417928402</v>
      </c>
    </row>
    <row r="90" spans="1:20" x14ac:dyDescent="0.3">
      <c r="A90" s="155" t="s">
        <v>2</v>
      </c>
      <c r="B90" s="156">
        <v>0</v>
      </c>
      <c r="C90" s="157">
        <f t="shared" si="24"/>
        <v>29.135235094880553</v>
      </c>
      <c r="D90" s="158">
        <f t="shared" si="45"/>
        <v>4.2</v>
      </c>
      <c r="E90" s="157">
        <f t="shared" si="30"/>
        <v>29.206003423903269</v>
      </c>
      <c r="F90" s="157">
        <f t="shared" si="32"/>
        <v>36.507504279879086</v>
      </c>
      <c r="G90" s="160">
        <f t="shared" si="36"/>
        <v>12.28628613516565</v>
      </c>
      <c r="H90" s="161">
        <f t="shared" si="37"/>
        <v>1.0400373750480867</v>
      </c>
      <c r="I90" s="157">
        <f t="shared" si="33"/>
        <v>35.047204108683921</v>
      </c>
      <c r="J90" s="160">
        <f t="shared" si="31"/>
        <v>-21.517287000552081</v>
      </c>
      <c r="K90" s="161">
        <f t="shared" si="34"/>
        <v>-2.1645070752729794</v>
      </c>
      <c r="L90" s="157">
        <f t="shared" si="42"/>
        <v>43.809005135854903</v>
      </c>
      <c r="M90" s="160">
        <f t="shared" si="41"/>
        <v>-5.5000865386853746E-2</v>
      </c>
      <c r="N90" s="161">
        <f t="shared" si="43"/>
        <v>-2.7835576833581399E-3</v>
      </c>
      <c r="O90" s="157">
        <f t="shared" si="38"/>
        <v>38.941337898537689</v>
      </c>
      <c r="P90" s="160">
        <f t="shared" si="39"/>
        <v>-4.4999134611662495E-2</v>
      </c>
      <c r="Q90" s="161">
        <f t="shared" si="40"/>
        <v>-3.0365109792853673E-3</v>
      </c>
      <c r="R90" s="161">
        <f t="shared" si="35"/>
        <v>48.676672373172117</v>
      </c>
      <c r="S90" s="160">
        <f t="shared" si="44"/>
        <v>16.941287000553519</v>
      </c>
      <c r="T90" s="161">
        <f t="shared" si="29"/>
        <v>1.4360164512233098</v>
      </c>
    </row>
    <row r="91" spans="1:20" x14ac:dyDescent="0.3">
      <c r="A91" s="155" t="s">
        <v>3</v>
      </c>
      <c r="B91" s="156">
        <v>0</v>
      </c>
      <c r="C91" s="157">
        <f t="shared" si="24"/>
        <v>27.499999999999936</v>
      </c>
      <c r="D91" s="158">
        <f t="shared" si="45"/>
        <v>0</v>
      </c>
      <c r="E91" s="157">
        <f t="shared" si="30"/>
        <v>27.499999999999936</v>
      </c>
      <c r="F91" s="157">
        <f t="shared" si="32"/>
        <v>34.374999999999922</v>
      </c>
      <c r="G91" s="160">
        <f t="shared" si="36"/>
        <v>12.010286135165495</v>
      </c>
      <c r="H91" s="161">
        <f>4*E87-5*E91</f>
        <v>0.95721077451761971</v>
      </c>
      <c r="I91" s="157">
        <f t="shared" si="33"/>
        <v>32.999999999999922</v>
      </c>
      <c r="J91" s="160">
        <f t="shared" si="31"/>
        <v>-7.5422870005525713</v>
      </c>
      <c r="K91" s="161">
        <f>5*$E88-6*$E91</f>
        <v>-0.71727473575521117</v>
      </c>
      <c r="L91" s="157">
        <f t="shared" si="42"/>
        <v>41.249999999999901</v>
      </c>
      <c r="M91" s="160">
        <f t="shared" si="41"/>
        <v>-4.7980008653864852</v>
      </c>
      <c r="N91" s="161">
        <f t="shared" si="43"/>
        <v>-0.22832676067008606</v>
      </c>
      <c r="O91" s="157">
        <f t="shared" si="38"/>
        <v>36.666666666666579</v>
      </c>
      <c r="P91" s="160">
        <f t="shared" si="39"/>
        <v>4.7550008653879354</v>
      </c>
      <c r="Q91" s="161">
        <f t="shared" si="40"/>
        <v>0.30254087092357906</v>
      </c>
      <c r="R91" s="161">
        <f t="shared" si="35"/>
        <v>45.833333333333229</v>
      </c>
      <c r="S91" s="160">
        <f t="shared" si="44"/>
        <v>12.010287000553166</v>
      </c>
      <c r="T91" s="161">
        <f t="shared" si="29"/>
        <v>0.95721084372789278</v>
      </c>
    </row>
    <row r="92" spans="1:20" x14ac:dyDescent="0.3">
      <c r="A92" s="159"/>
      <c r="B92" s="159"/>
      <c r="C92" s="159"/>
      <c r="D92" s="159"/>
      <c r="E92" s="159"/>
      <c r="F92" s="159"/>
      <c r="G92" s="160"/>
      <c r="H92" s="161"/>
      <c r="I92" s="159"/>
      <c r="J92" s="160"/>
      <c r="K92" s="161"/>
      <c r="L92" s="159"/>
      <c r="M92" s="160"/>
      <c r="N92" s="161"/>
      <c r="O92" s="159"/>
      <c r="P92" s="159"/>
      <c r="Q92" s="159"/>
      <c r="R92" s="159"/>
      <c r="S92" s="159"/>
      <c r="T92" s="159"/>
    </row>
    <row r="93" spans="1:20" hidden="1" x14ac:dyDescent="0.3">
      <c r="A93" s="159"/>
      <c r="B93" s="159"/>
      <c r="C93" s="159"/>
      <c r="D93" s="159"/>
      <c r="E93" s="159"/>
      <c r="F93" s="159"/>
      <c r="G93" s="160"/>
      <c r="H93" s="161"/>
      <c r="I93" s="159"/>
      <c r="J93" s="160"/>
      <c r="K93" s="161"/>
      <c r="L93" s="159"/>
      <c r="M93" s="160"/>
      <c r="N93" s="161"/>
      <c r="O93" s="159"/>
      <c r="P93" s="159"/>
      <c r="Q93" s="159"/>
      <c r="R93" s="159"/>
      <c r="S93" s="159"/>
      <c r="T93" s="159"/>
    </row>
    <row r="94" spans="1:20" hidden="1" x14ac:dyDescent="0.3">
      <c r="A94" s="159"/>
      <c r="B94" s="159"/>
      <c r="C94" s="159"/>
      <c r="D94" s="159"/>
      <c r="E94" s="159"/>
      <c r="F94" s="159"/>
      <c r="G94" s="160"/>
      <c r="H94" s="161"/>
      <c r="I94" s="159"/>
      <c r="J94" s="160"/>
      <c r="K94" s="161"/>
      <c r="L94" s="159"/>
      <c r="M94" s="160"/>
      <c r="N94" s="161"/>
      <c r="O94" s="159"/>
      <c r="P94" s="159"/>
      <c r="Q94" s="159"/>
      <c r="R94" s="159"/>
      <c r="S94" s="159"/>
      <c r="T94" s="159"/>
    </row>
    <row r="95" spans="1:20" hidden="1" x14ac:dyDescent="0.3">
      <c r="A95" s="159"/>
      <c r="B95" s="159"/>
      <c r="C95" s="159"/>
      <c r="D95" s="159"/>
      <c r="E95" s="159"/>
      <c r="F95" s="159"/>
      <c r="G95" s="160"/>
      <c r="H95" s="161"/>
      <c r="I95" s="159"/>
      <c r="J95" s="160"/>
      <c r="K95" s="161"/>
      <c r="L95" s="159"/>
      <c r="M95" s="160"/>
      <c r="N95" s="161"/>
      <c r="O95" s="159"/>
      <c r="P95" s="159"/>
      <c r="Q95" s="159"/>
      <c r="R95" s="159"/>
      <c r="S95" s="159"/>
      <c r="T95" s="159"/>
    </row>
    <row r="96" spans="1:20" hidden="1" x14ac:dyDescent="0.3">
      <c r="A96" s="159"/>
      <c r="B96" s="159"/>
      <c r="C96" s="159"/>
      <c r="D96" s="159"/>
      <c r="E96" s="159"/>
      <c r="F96" s="159"/>
      <c r="G96" s="160"/>
      <c r="H96" s="161"/>
      <c r="I96" s="159"/>
      <c r="J96" s="160"/>
      <c r="K96" s="161"/>
      <c r="L96" s="159"/>
      <c r="M96" s="160"/>
      <c r="N96" s="161"/>
      <c r="O96" s="159"/>
      <c r="P96" s="159"/>
      <c r="Q96" s="159"/>
      <c r="R96" s="159"/>
      <c r="S96" s="159"/>
      <c r="T96" s="159"/>
    </row>
    <row r="97" spans="1:20" hidden="1" x14ac:dyDescent="0.3">
      <c r="A97" s="159"/>
      <c r="B97" s="159"/>
      <c r="C97" s="159"/>
      <c r="D97" s="159"/>
      <c r="E97" s="159"/>
      <c r="F97" s="159"/>
      <c r="G97" s="160"/>
      <c r="H97" s="161"/>
      <c r="I97" s="159"/>
      <c r="J97" s="160"/>
      <c r="K97" s="161"/>
      <c r="L97" s="159"/>
      <c r="M97" s="160"/>
      <c r="N97" s="161"/>
      <c r="O97" s="159"/>
      <c r="P97" s="159"/>
      <c r="Q97" s="159"/>
      <c r="R97" s="159"/>
      <c r="S97" s="159"/>
      <c r="T97" s="159"/>
    </row>
    <row r="98" spans="1:20" hidden="1" x14ac:dyDescent="0.3">
      <c r="A98" s="159"/>
      <c r="B98" s="159"/>
      <c r="C98" s="159"/>
      <c r="D98" s="159"/>
      <c r="E98" s="159"/>
      <c r="F98" s="159"/>
      <c r="G98" s="160"/>
      <c r="H98" s="161"/>
      <c r="I98" s="159"/>
      <c r="J98" s="160"/>
      <c r="K98" s="161"/>
      <c r="L98" s="159"/>
      <c r="M98" s="160"/>
      <c r="N98" s="161"/>
      <c r="O98" s="159"/>
      <c r="P98" s="159"/>
      <c r="Q98" s="159"/>
      <c r="R98" s="159"/>
      <c r="S98" s="159"/>
      <c r="T98" s="159"/>
    </row>
    <row r="99" spans="1:20" hidden="1" x14ac:dyDescent="0.3">
      <c r="A99" s="159"/>
      <c r="B99" s="159"/>
      <c r="C99" s="159"/>
      <c r="D99" s="159"/>
      <c r="E99" s="159"/>
      <c r="F99" s="159"/>
      <c r="G99" s="160"/>
      <c r="H99" s="161"/>
      <c r="I99" s="159"/>
      <c r="J99" s="160"/>
      <c r="K99" s="161"/>
      <c r="L99" s="159"/>
      <c r="M99" s="160"/>
      <c r="N99" s="161"/>
      <c r="O99" s="159"/>
      <c r="P99" s="159"/>
      <c r="Q99" s="159"/>
      <c r="R99" s="159"/>
      <c r="S99" s="159"/>
      <c r="T99" s="159"/>
    </row>
    <row r="100" spans="1:20" hidden="1" x14ac:dyDescent="0.3">
      <c r="A100" s="159"/>
      <c r="B100" s="159"/>
      <c r="C100" s="159"/>
      <c r="D100" s="159"/>
      <c r="E100" s="159"/>
      <c r="F100" s="159"/>
      <c r="G100" s="160"/>
      <c r="H100" s="161"/>
      <c r="I100" s="159"/>
      <c r="J100" s="160"/>
      <c r="K100" s="161"/>
      <c r="L100" s="159"/>
      <c r="M100" s="160"/>
      <c r="N100" s="161"/>
      <c r="O100" s="159"/>
      <c r="P100" s="159"/>
      <c r="Q100" s="159"/>
      <c r="R100" s="159"/>
      <c r="S100" s="159"/>
      <c r="T100" s="159"/>
    </row>
    <row r="101" spans="1:20" hidden="1" x14ac:dyDescent="0.3">
      <c r="A101" s="159"/>
      <c r="B101" s="159"/>
      <c r="C101" s="159"/>
      <c r="D101" s="159"/>
      <c r="E101" s="159"/>
      <c r="F101" s="159"/>
      <c r="G101" s="160"/>
      <c r="H101" s="161"/>
      <c r="I101" s="159"/>
      <c r="J101" s="160"/>
      <c r="K101" s="161"/>
      <c r="L101" s="159"/>
      <c r="M101" s="160"/>
      <c r="N101" s="161"/>
      <c r="O101" s="159"/>
      <c r="P101" s="159"/>
      <c r="Q101" s="159"/>
      <c r="R101" s="159"/>
      <c r="S101" s="159"/>
      <c r="T101" s="159"/>
    </row>
    <row r="102" spans="1:20" hidden="1" x14ac:dyDescent="0.3">
      <c r="A102" s="159"/>
      <c r="B102" s="159"/>
      <c r="C102" s="159"/>
      <c r="D102" s="159"/>
      <c r="E102" s="159"/>
      <c r="F102" s="159"/>
      <c r="G102" s="160"/>
      <c r="H102" s="161"/>
      <c r="I102" s="159"/>
      <c r="J102" s="160"/>
      <c r="K102" s="161"/>
      <c r="L102" s="159"/>
      <c r="M102" s="160"/>
      <c r="N102" s="161"/>
      <c r="O102" s="159"/>
      <c r="P102" s="159"/>
      <c r="Q102" s="159"/>
      <c r="R102" s="159"/>
      <c r="S102" s="159"/>
      <c r="T102" s="159"/>
    </row>
    <row r="103" spans="1:20" hidden="1" x14ac:dyDescent="0.3">
      <c r="A103" s="159"/>
      <c r="B103" s="159"/>
      <c r="C103" s="159"/>
      <c r="D103" s="159"/>
      <c r="E103" s="159"/>
      <c r="F103" s="159"/>
      <c r="G103" s="160"/>
      <c r="H103" s="161"/>
      <c r="I103" s="159"/>
      <c r="J103" s="160"/>
      <c r="K103" s="161"/>
      <c r="L103" s="159"/>
      <c r="M103" s="160"/>
      <c r="N103" s="161"/>
      <c r="O103" s="159"/>
      <c r="P103" s="159"/>
      <c r="Q103" s="159"/>
      <c r="R103" s="159"/>
      <c r="S103" s="159"/>
      <c r="T103" s="159"/>
    </row>
    <row r="104" spans="1:20" hidden="1" x14ac:dyDescent="0.3">
      <c r="A104" s="159"/>
      <c r="B104" s="159"/>
      <c r="C104" s="159"/>
      <c r="D104" s="159"/>
      <c r="E104" s="159"/>
      <c r="F104" s="159"/>
      <c r="G104" s="160"/>
      <c r="H104" s="161"/>
      <c r="I104" s="159"/>
      <c r="J104" s="160"/>
      <c r="K104" s="161"/>
      <c r="L104" s="159"/>
      <c r="M104" s="160"/>
      <c r="N104" s="161"/>
      <c r="O104" s="159"/>
      <c r="P104" s="159"/>
      <c r="Q104" s="159"/>
      <c r="R104" s="159"/>
      <c r="S104" s="159"/>
      <c r="T104" s="159"/>
    </row>
    <row r="105" spans="1:20" hidden="1" x14ac:dyDescent="0.3">
      <c r="A105" s="159"/>
      <c r="B105" s="159"/>
      <c r="C105" s="159"/>
      <c r="D105" s="159"/>
      <c r="E105" s="159"/>
      <c r="F105" s="159"/>
      <c r="G105" s="160"/>
      <c r="H105" s="161"/>
      <c r="I105" s="159"/>
      <c r="J105" s="160"/>
      <c r="K105" s="161"/>
      <c r="L105" s="159"/>
      <c r="M105" s="160"/>
      <c r="N105" s="161"/>
      <c r="O105" s="159"/>
      <c r="P105" s="159"/>
      <c r="Q105" s="159"/>
      <c r="R105" s="159"/>
      <c r="S105" s="159"/>
      <c r="T105" s="159"/>
    </row>
    <row r="106" spans="1:20" hidden="1" x14ac:dyDescent="0.3">
      <c r="A106" s="159"/>
      <c r="B106" s="159"/>
      <c r="C106" s="159"/>
      <c r="D106" s="159"/>
      <c r="E106" s="159"/>
      <c r="F106" s="159"/>
      <c r="G106" s="160"/>
      <c r="H106" s="161"/>
      <c r="I106" s="159"/>
      <c r="J106" s="160"/>
      <c r="K106" s="161"/>
      <c r="L106" s="159"/>
      <c r="M106" s="160"/>
      <c r="N106" s="161"/>
      <c r="O106" s="159"/>
      <c r="P106" s="159"/>
      <c r="Q106" s="159"/>
      <c r="R106" s="159"/>
      <c r="S106" s="159"/>
      <c r="T106" s="159"/>
    </row>
    <row r="107" spans="1:20" hidden="1" x14ac:dyDescent="0.3">
      <c r="A107" s="159"/>
      <c r="B107" s="159"/>
      <c r="C107" s="159"/>
      <c r="D107" s="157"/>
      <c r="E107" s="157"/>
      <c r="F107" s="159"/>
      <c r="G107" s="160"/>
      <c r="H107" s="161"/>
      <c r="I107" s="159"/>
      <c r="J107" s="160"/>
      <c r="K107" s="161"/>
      <c r="L107" s="159"/>
      <c r="M107" s="160"/>
      <c r="N107" s="161"/>
      <c r="O107" s="159"/>
      <c r="P107" s="159"/>
      <c r="Q107" s="159"/>
      <c r="R107" s="159"/>
      <c r="S107" s="159"/>
      <c r="T107" s="159"/>
    </row>
    <row r="108" spans="1:20" hidden="1" x14ac:dyDescent="0.3">
      <c r="A108" s="159"/>
      <c r="B108" s="159"/>
      <c r="C108" s="159"/>
      <c r="D108" s="157"/>
      <c r="E108" s="159"/>
      <c r="F108" s="159"/>
      <c r="G108" s="160"/>
      <c r="H108" s="161"/>
      <c r="I108" s="159"/>
      <c r="J108" s="160"/>
      <c r="K108" s="161"/>
      <c r="L108" s="159"/>
      <c r="M108" s="160"/>
      <c r="N108" s="161"/>
      <c r="O108" s="159"/>
      <c r="P108" s="159"/>
      <c r="Q108" s="159"/>
      <c r="R108" s="159"/>
      <c r="S108" s="159"/>
      <c r="T108" s="159"/>
    </row>
    <row r="109" spans="1:20" hidden="1" x14ac:dyDescent="0.3">
      <c r="A109" s="159"/>
      <c r="B109" s="159"/>
      <c r="C109" s="159"/>
      <c r="D109" s="157"/>
      <c r="E109" s="159"/>
      <c r="F109" s="159"/>
      <c r="G109" s="160"/>
      <c r="H109" s="161"/>
      <c r="I109" s="159"/>
      <c r="J109" s="160"/>
      <c r="K109" s="161"/>
      <c r="L109" s="159"/>
      <c r="M109" s="160"/>
      <c r="N109" s="161"/>
      <c r="O109" s="159"/>
      <c r="P109" s="159"/>
      <c r="Q109" s="159"/>
      <c r="R109" s="159"/>
      <c r="S109" s="159"/>
      <c r="T109" s="159"/>
    </row>
    <row r="110" spans="1:20" hidden="1" x14ac:dyDescent="0.3">
      <c r="A110" s="159"/>
      <c r="B110" s="159"/>
      <c r="C110" s="159"/>
      <c r="D110" s="157"/>
      <c r="E110" s="159"/>
      <c r="F110" s="159"/>
      <c r="G110" s="160"/>
      <c r="H110" s="161"/>
      <c r="I110" s="159"/>
      <c r="J110" s="160"/>
      <c r="K110" s="161"/>
      <c r="L110" s="159"/>
      <c r="M110" s="160"/>
      <c r="N110" s="161"/>
      <c r="O110" s="159"/>
      <c r="P110" s="159"/>
      <c r="Q110" s="159"/>
      <c r="R110" s="159"/>
      <c r="S110" s="159"/>
      <c r="T110" s="159"/>
    </row>
    <row r="111" spans="1:20" hidden="1" x14ac:dyDescent="0.3">
      <c r="A111" s="159"/>
      <c r="B111" s="159"/>
      <c r="C111" s="159"/>
      <c r="D111" s="157"/>
      <c r="E111" s="159"/>
      <c r="F111" s="159"/>
      <c r="G111" s="160"/>
      <c r="H111" s="161"/>
      <c r="I111" s="159"/>
      <c r="J111" s="160"/>
      <c r="K111" s="161"/>
      <c r="L111" s="159"/>
      <c r="M111" s="160"/>
      <c r="N111" s="161"/>
      <c r="O111" s="159"/>
      <c r="P111" s="159"/>
      <c r="Q111" s="159"/>
      <c r="R111" s="159"/>
      <c r="S111" s="159"/>
      <c r="T111" s="159"/>
    </row>
    <row r="112" spans="1:20" hidden="1" x14ac:dyDescent="0.3">
      <c r="A112" s="159"/>
      <c r="B112" s="159"/>
      <c r="C112" s="159"/>
      <c r="D112" s="157"/>
      <c r="E112" s="159"/>
      <c r="F112" s="159"/>
      <c r="G112" s="160"/>
      <c r="H112" s="161"/>
      <c r="I112" s="159"/>
      <c r="J112" s="160"/>
      <c r="K112" s="161"/>
      <c r="L112" s="159"/>
      <c r="M112" s="160"/>
      <c r="N112" s="161"/>
      <c r="O112" s="159"/>
      <c r="P112" s="159"/>
      <c r="Q112" s="159"/>
      <c r="R112" s="159"/>
      <c r="S112" s="159"/>
      <c r="T112" s="159"/>
    </row>
    <row r="113" spans="1:20" hidden="1" x14ac:dyDescent="0.3">
      <c r="A113" s="159"/>
      <c r="B113" s="159"/>
      <c r="C113" s="159"/>
      <c r="D113" s="157"/>
      <c r="E113" s="159"/>
      <c r="F113" s="159"/>
      <c r="G113" s="160"/>
      <c r="H113" s="161"/>
      <c r="I113" s="159"/>
      <c r="J113" s="160"/>
      <c r="K113" s="161"/>
      <c r="L113" s="159"/>
      <c r="M113" s="160"/>
      <c r="N113" s="161"/>
      <c r="O113" s="159"/>
      <c r="P113" s="159"/>
      <c r="Q113" s="159"/>
      <c r="R113" s="159"/>
      <c r="S113" s="159"/>
      <c r="T113" s="159"/>
    </row>
    <row r="114" spans="1:20" hidden="1" x14ac:dyDescent="0.3">
      <c r="A114" s="159"/>
      <c r="B114" s="159"/>
      <c r="C114" s="159"/>
      <c r="D114" s="157"/>
      <c r="E114" s="159"/>
      <c r="F114" s="159"/>
      <c r="G114" s="160"/>
      <c r="H114" s="161"/>
      <c r="I114" s="159"/>
      <c r="J114" s="160"/>
      <c r="K114" s="161"/>
      <c r="L114" s="159"/>
      <c r="M114" s="160"/>
      <c r="N114" s="161"/>
      <c r="O114" s="159"/>
      <c r="P114" s="159"/>
      <c r="Q114" s="159"/>
      <c r="R114" s="159"/>
      <c r="S114" s="159"/>
      <c r="T114" s="159"/>
    </row>
    <row r="115" spans="1:20" hidden="1" x14ac:dyDescent="0.3">
      <c r="A115" s="159"/>
      <c r="B115" s="159"/>
      <c r="C115" s="159"/>
      <c r="D115" s="157"/>
      <c r="E115" s="159"/>
      <c r="F115" s="159"/>
      <c r="G115" s="160"/>
      <c r="H115" s="161"/>
      <c r="I115" s="159"/>
      <c r="J115" s="160"/>
      <c r="K115" s="161"/>
      <c r="L115" s="159"/>
      <c r="M115" s="160"/>
      <c r="N115" s="161"/>
      <c r="O115" s="159"/>
      <c r="P115" s="159"/>
      <c r="Q115" s="159"/>
      <c r="R115" s="159"/>
      <c r="S115" s="159"/>
      <c r="T115" s="159"/>
    </row>
    <row r="116" spans="1:20" hidden="1" x14ac:dyDescent="0.3">
      <c r="A116" s="159"/>
      <c r="B116" s="159"/>
      <c r="C116" s="159"/>
      <c r="D116" s="157"/>
      <c r="E116" s="159"/>
      <c r="F116" s="159"/>
      <c r="G116" s="160"/>
      <c r="H116" s="161"/>
      <c r="I116" s="159"/>
      <c r="J116" s="160"/>
      <c r="K116" s="161"/>
      <c r="L116" s="159"/>
      <c r="M116" s="160"/>
      <c r="N116" s="161"/>
      <c r="O116" s="159"/>
      <c r="P116" s="159"/>
      <c r="Q116" s="159"/>
      <c r="R116" s="159"/>
      <c r="S116" s="159"/>
      <c r="T116" s="159"/>
    </row>
    <row r="117" spans="1:20" hidden="1" x14ac:dyDescent="0.3">
      <c r="A117" s="159"/>
      <c r="B117" s="159"/>
      <c r="C117" s="159"/>
      <c r="D117" s="157"/>
      <c r="E117" s="159"/>
      <c r="F117" s="159"/>
      <c r="G117" s="160"/>
      <c r="H117" s="161"/>
      <c r="I117" s="159"/>
      <c r="J117" s="160"/>
      <c r="K117" s="161"/>
      <c r="L117" s="159"/>
      <c r="M117" s="160"/>
      <c r="N117" s="161"/>
      <c r="O117" s="159"/>
      <c r="P117" s="159"/>
      <c r="Q117" s="159"/>
      <c r="R117" s="159"/>
      <c r="S117" s="159"/>
      <c r="T117" s="159"/>
    </row>
    <row r="118" spans="1:20" hidden="1" x14ac:dyDescent="0.3">
      <c r="A118" s="159"/>
      <c r="B118" s="159"/>
      <c r="C118" s="159"/>
      <c r="D118" s="157"/>
      <c r="E118" s="159"/>
      <c r="F118" s="159"/>
      <c r="G118" s="160"/>
      <c r="H118" s="161"/>
      <c r="I118" s="159"/>
      <c r="J118" s="160"/>
      <c r="K118" s="161"/>
      <c r="L118" s="159"/>
      <c r="M118" s="160"/>
      <c r="N118" s="161"/>
      <c r="O118" s="159"/>
      <c r="P118" s="159"/>
      <c r="Q118" s="159"/>
      <c r="R118" s="159"/>
      <c r="S118" s="159"/>
      <c r="T118" s="159"/>
    </row>
  </sheetData>
  <sheetProtection algorithmName="SHA-512" hashValue="6kx/b/WrkbDONia0KDWvUyI5xTR4l3c3kaSEZxs4P3j52UmpYZP7tFtbMmQJ8eRjccWgneDHIgjKHMlonC64Wg==" saltValue="4sTCBohGzPlfPFv+Ok9DAQ==" spinCount="100000" sheet="1" objects="1" scenarios="1"/>
  <mergeCells count="1">
    <mergeCell ref="A3:B3"/>
  </mergeCells>
  <pageMargins left="0.7" right="0.7" top="0.75" bottom="0.75" header="0.3" footer="0.3"/>
  <pageSetup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6"/>
  <sheetViews>
    <sheetView topLeftCell="B1" zoomScale="184" zoomScaleNormal="184" workbookViewId="0">
      <selection activeCell="E7" sqref="E7"/>
    </sheetView>
  </sheetViews>
  <sheetFormatPr defaultColWidth="9" defaultRowHeight="13.5" x14ac:dyDescent="0.3"/>
  <cols>
    <col min="1" max="1" width="24.3828125" style="1" customWidth="1"/>
    <col min="2" max="2" width="5.23046875" style="1" customWidth="1"/>
    <col min="3" max="3" width="9" style="1"/>
    <col min="4" max="4" width="19.4609375" style="1" bestFit="1" customWidth="1"/>
    <col min="5" max="5" width="9" style="1"/>
    <col min="6" max="6" width="21.15234375" style="1" bestFit="1" customWidth="1"/>
    <col min="7" max="8" width="9.15234375" style="1" bestFit="1" customWidth="1"/>
    <col min="9" max="9" width="27.61328125" style="1" customWidth="1"/>
    <col min="10" max="16384" width="9" style="1"/>
  </cols>
  <sheetData>
    <row r="1" spans="1:9" ht="19" thickBot="1" x14ac:dyDescent="0.35">
      <c r="A1" s="36" t="s">
        <v>22</v>
      </c>
    </row>
    <row r="2" spans="1:9" ht="14.5" thickTop="1" thickBot="1" x14ac:dyDescent="0.35"/>
    <row r="3" spans="1:9" x14ac:dyDescent="0.3">
      <c r="A3" s="7"/>
      <c r="B3" s="8"/>
      <c r="C3" s="8"/>
      <c r="D3" s="8"/>
      <c r="E3" s="8"/>
      <c r="F3" s="8"/>
      <c r="G3" s="8"/>
      <c r="H3" s="8"/>
      <c r="I3" s="9"/>
    </row>
    <row r="4" spans="1:9" x14ac:dyDescent="0.3">
      <c r="A4" s="10"/>
      <c r="B4" s="11"/>
      <c r="C4" s="11"/>
      <c r="D4" s="11"/>
      <c r="E4" s="11"/>
      <c r="F4" s="11"/>
      <c r="G4" s="17"/>
      <c r="H4" s="11"/>
      <c r="I4" s="12"/>
    </row>
    <row r="5" spans="1:9" s="3" customFormat="1" x14ac:dyDescent="0.3">
      <c r="A5" s="13"/>
      <c r="B5" s="14"/>
      <c r="C5" s="15"/>
      <c r="D5" s="14"/>
      <c r="E5" s="14"/>
      <c r="F5" s="14"/>
      <c r="G5" s="14"/>
      <c r="H5" s="14"/>
      <c r="I5" s="16"/>
    </row>
    <row r="6" spans="1:9" x14ac:dyDescent="0.3">
      <c r="A6" s="10"/>
      <c r="B6" s="11"/>
      <c r="C6" s="17"/>
      <c r="D6" s="11"/>
      <c r="E6" s="11"/>
      <c r="F6" s="11"/>
      <c r="G6" s="11"/>
      <c r="H6" s="11"/>
      <c r="I6" s="12"/>
    </row>
    <row r="7" spans="1:9" x14ac:dyDescent="0.3">
      <c r="A7" s="10"/>
      <c r="B7" s="11"/>
      <c r="C7" s="21" t="s">
        <v>24</v>
      </c>
      <c r="D7" s="23">
        <v>100</v>
      </c>
      <c r="E7" s="11" t="s">
        <v>31</v>
      </c>
      <c r="F7" s="31">
        <f>2^(1/12)</f>
        <v>1.0594630943592953</v>
      </c>
      <c r="G7" s="29" t="s">
        <v>191</v>
      </c>
      <c r="H7" s="11"/>
      <c r="I7" s="12"/>
    </row>
    <row r="8" spans="1:9" x14ac:dyDescent="0.3">
      <c r="A8" s="10"/>
      <c r="B8" s="11"/>
      <c r="C8" s="21" t="s">
        <v>23</v>
      </c>
      <c r="D8" s="23">
        <f t="shared" ref="D8:D14" si="0">D7*semitone</f>
        <v>105.94630943592954</v>
      </c>
      <c r="E8" s="11"/>
      <c r="F8" s="11" t="s">
        <v>117</v>
      </c>
      <c r="G8" s="11"/>
      <c r="H8" s="11"/>
      <c r="I8" s="12"/>
    </row>
    <row r="9" spans="1:9" x14ac:dyDescent="0.3">
      <c r="A9" s="10"/>
      <c r="B9" s="11"/>
      <c r="C9" s="21" t="s">
        <v>25</v>
      </c>
      <c r="D9" s="23">
        <f t="shared" si="0"/>
        <v>112.24620483093732</v>
      </c>
      <c r="E9" s="11"/>
      <c r="F9" s="11"/>
      <c r="G9" s="11"/>
      <c r="H9" s="11"/>
      <c r="I9" s="12"/>
    </row>
    <row r="10" spans="1:9" x14ac:dyDescent="0.3">
      <c r="A10" s="10"/>
      <c r="B10" s="11"/>
      <c r="C10" s="21" t="s">
        <v>26</v>
      </c>
      <c r="D10" s="23">
        <f t="shared" si="0"/>
        <v>118.92071150027213</v>
      </c>
      <c r="E10" s="11"/>
      <c r="F10" s="32"/>
      <c r="G10" s="11"/>
      <c r="H10" s="11"/>
      <c r="I10" s="12"/>
    </row>
    <row r="11" spans="1:9" x14ac:dyDescent="0.3">
      <c r="A11" s="10"/>
      <c r="B11" s="11"/>
      <c r="C11" s="21" t="s">
        <v>27</v>
      </c>
      <c r="D11" s="23">
        <f t="shared" si="0"/>
        <v>125.99210498948734</v>
      </c>
      <c r="E11" s="11"/>
      <c r="F11" s="33"/>
      <c r="G11" s="11"/>
      <c r="H11" s="11"/>
      <c r="I11" s="12"/>
    </row>
    <row r="12" spans="1:9" x14ac:dyDescent="0.3">
      <c r="A12" s="10"/>
      <c r="B12" s="11"/>
      <c r="C12" s="21" t="s">
        <v>28</v>
      </c>
      <c r="D12" s="23">
        <f t="shared" si="0"/>
        <v>133.48398541700348</v>
      </c>
      <c r="E12" s="11"/>
      <c r="F12" s="33"/>
      <c r="G12" s="11"/>
      <c r="H12" s="11"/>
      <c r="I12" s="12"/>
    </row>
    <row r="13" spans="1:9" x14ac:dyDescent="0.3">
      <c r="A13" s="10"/>
      <c r="B13" s="11"/>
      <c r="C13" s="21" t="s">
        <v>29</v>
      </c>
      <c r="D13" s="23">
        <f t="shared" si="0"/>
        <v>141.42135623730957</v>
      </c>
      <c r="E13" s="11"/>
      <c r="F13" s="26"/>
      <c r="G13" s="11"/>
      <c r="H13" s="11"/>
      <c r="I13" s="12"/>
    </row>
    <row r="14" spans="1:9" x14ac:dyDescent="0.3">
      <c r="A14" s="10"/>
      <c r="B14" s="11"/>
      <c r="C14" s="21" t="s">
        <v>30</v>
      </c>
      <c r="D14" s="23">
        <f t="shared" si="0"/>
        <v>149.83070768766822</v>
      </c>
      <c r="E14" s="11"/>
      <c r="F14" s="26"/>
      <c r="G14" s="11"/>
      <c r="H14" s="11"/>
      <c r="I14" s="12"/>
    </row>
    <row r="15" spans="1:9" ht="14" thickBot="1" x14ac:dyDescent="0.35">
      <c r="A15" s="18"/>
      <c r="B15" s="19"/>
      <c r="C15" s="19"/>
      <c r="D15" s="24"/>
      <c r="E15" s="19"/>
      <c r="F15" s="27"/>
      <c r="G15" s="28"/>
      <c r="H15" s="19"/>
      <c r="I15" s="20"/>
    </row>
    <row r="16" spans="1:9" ht="14" thickBot="1" x14ac:dyDescent="0.35">
      <c r="D16" s="25"/>
    </row>
    <row r="17" spans="1:9" x14ac:dyDescent="0.3">
      <c r="A17" s="7"/>
      <c r="B17" s="8"/>
      <c r="C17" s="8" t="s">
        <v>32</v>
      </c>
      <c r="D17" s="30"/>
      <c r="E17" s="8"/>
      <c r="F17" s="8"/>
      <c r="G17" s="8"/>
      <c r="H17" s="8"/>
      <c r="I17" s="9"/>
    </row>
    <row r="18" spans="1:9" x14ac:dyDescent="0.3">
      <c r="A18" s="10"/>
      <c r="B18" s="11"/>
      <c r="C18" s="21" t="s">
        <v>33</v>
      </c>
      <c r="D18" s="23">
        <f>D14*semitone</f>
        <v>158.74010519682002</v>
      </c>
      <c r="E18" s="11"/>
      <c r="F18" s="11"/>
      <c r="G18" s="11"/>
      <c r="H18" s="11"/>
      <c r="I18" s="12"/>
    </row>
    <row r="19" spans="1:9" x14ac:dyDescent="0.3">
      <c r="A19" s="10"/>
      <c r="B19" s="11"/>
      <c r="C19" s="21" t="s">
        <v>34</v>
      </c>
      <c r="D19" s="23">
        <f>D18*semitone</f>
        <v>168.17928305074301</v>
      </c>
      <c r="E19" s="11" t="s">
        <v>118</v>
      </c>
      <c r="F19" s="31">
        <f>D22/100</f>
        <v>2.0000000000000013</v>
      </c>
      <c r="G19" s="29" t="s">
        <v>192</v>
      </c>
      <c r="H19" s="11"/>
      <c r="I19" s="12"/>
    </row>
    <row r="20" spans="1:9" x14ac:dyDescent="0.3">
      <c r="A20" s="10"/>
      <c r="B20" s="11"/>
      <c r="C20" s="21" t="s">
        <v>35</v>
      </c>
      <c r="D20" s="23">
        <f>D19*semitone</f>
        <v>178.17974362806797</v>
      </c>
      <c r="E20" s="11" t="s">
        <v>193</v>
      </c>
      <c r="F20" s="11"/>
      <c r="G20" s="11"/>
      <c r="H20" s="11"/>
      <c r="I20" s="12"/>
    </row>
    <row r="21" spans="1:9" x14ac:dyDescent="0.3">
      <c r="A21" s="10"/>
      <c r="B21" s="11"/>
      <c r="C21" s="21" t="s">
        <v>36</v>
      </c>
      <c r="D21" s="23">
        <f>D20*semitone</f>
        <v>188.77486253633882</v>
      </c>
      <c r="E21" s="11"/>
      <c r="F21" s="31">
        <f>octave^(1/1200)</f>
        <v>1.0005777895065548</v>
      </c>
      <c r="G21" s="29" t="s">
        <v>188</v>
      </c>
      <c r="H21" s="11"/>
      <c r="I21" s="12"/>
    </row>
    <row r="22" spans="1:9" x14ac:dyDescent="0.3">
      <c r="A22" s="10"/>
      <c r="B22" s="11"/>
      <c r="C22" s="21" t="s">
        <v>37</v>
      </c>
      <c r="D22" s="23">
        <f>D21*semitone</f>
        <v>200.00000000000014</v>
      </c>
      <c r="E22" s="11"/>
      <c r="F22" s="11"/>
      <c r="G22" s="11"/>
      <c r="H22" s="11"/>
      <c r="I22" s="12"/>
    </row>
    <row r="23" spans="1:9" x14ac:dyDescent="0.3">
      <c r="A23" s="10"/>
      <c r="B23" s="11"/>
      <c r="C23" s="11"/>
      <c r="D23" s="11"/>
      <c r="E23" s="11" t="s">
        <v>189</v>
      </c>
      <c r="F23" s="11"/>
      <c r="G23" s="11"/>
      <c r="H23" s="11"/>
      <c r="I23" s="12"/>
    </row>
    <row r="24" spans="1:9" x14ac:dyDescent="0.3">
      <c r="A24" s="10"/>
      <c r="B24" s="11"/>
      <c r="C24" s="11"/>
      <c r="D24" s="11"/>
      <c r="E24" s="11" t="s">
        <v>190</v>
      </c>
      <c r="F24" s="11"/>
      <c r="G24" s="11"/>
      <c r="H24" s="11"/>
      <c r="I24" s="12"/>
    </row>
    <row r="25" spans="1:9" x14ac:dyDescent="0.3">
      <c r="A25" s="10"/>
      <c r="B25" s="11"/>
      <c r="C25" s="11"/>
      <c r="D25" s="11"/>
      <c r="E25" s="11"/>
      <c r="F25" s="22">
        <f>D14*(cent^100)</f>
        <v>158.74010519682054</v>
      </c>
      <c r="G25" s="26" t="s">
        <v>38</v>
      </c>
      <c r="H25" s="11"/>
      <c r="I25" s="12"/>
    </row>
    <row r="26" spans="1:9" ht="14" thickBot="1" x14ac:dyDescent="0.35">
      <c r="A26" s="18"/>
      <c r="B26" s="19"/>
      <c r="C26" s="19"/>
      <c r="D26" s="19"/>
      <c r="E26" s="19"/>
      <c r="F26" s="19"/>
      <c r="G26" s="19"/>
      <c r="H26" s="19"/>
      <c r="I26" s="20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55</vt:i4>
      </vt:variant>
    </vt:vector>
  </HeadingPairs>
  <TitlesOfParts>
    <vt:vector size="60" baseType="lpstr">
      <vt:lpstr>ChartData</vt:lpstr>
      <vt:lpstr>WellChart</vt:lpstr>
      <vt:lpstr>MeanChart</vt:lpstr>
      <vt:lpstr>Panoply</vt:lpstr>
      <vt:lpstr>Constants</vt:lpstr>
      <vt:lpstr>aaa</vt:lpstr>
      <vt:lpstr>aflat</vt:lpstr>
      <vt:lpstr>alis</vt:lpstr>
      <vt:lpstr>asharp</vt:lpstr>
      <vt:lpstr>bee</vt:lpstr>
      <vt:lpstr>belis</vt:lpstr>
      <vt:lpstr>bflat</vt:lpstr>
      <vt:lpstr>cee</vt:lpstr>
      <vt:lpstr>cent</vt:lpstr>
      <vt:lpstr>cfund</vt:lpstr>
      <vt:lpstr>commentary</vt:lpstr>
      <vt:lpstr>csharp</vt:lpstr>
      <vt:lpstr>dee</vt:lpstr>
      <vt:lpstr>delis</vt:lpstr>
      <vt:lpstr>dflat</vt:lpstr>
      <vt:lpstr>divisor</vt:lpstr>
      <vt:lpstr>dsharp</vt:lpstr>
      <vt:lpstr>eee</vt:lpstr>
      <vt:lpstr>eff</vt:lpstr>
      <vt:lpstr>eflat</vt:lpstr>
      <vt:lpstr>elis</vt:lpstr>
      <vt:lpstr>MeanChart!equalized</vt:lpstr>
      <vt:lpstr>equalized</vt:lpstr>
      <vt:lpstr>equalizedM</vt:lpstr>
      <vt:lpstr>MeanChart!fifthbps</vt:lpstr>
      <vt:lpstr>fifthbps</vt:lpstr>
      <vt:lpstr>fsharp</vt:lpstr>
      <vt:lpstr>FudgeFactor</vt:lpstr>
      <vt:lpstr>fundamental</vt:lpstr>
      <vt:lpstr>gee</vt:lpstr>
      <vt:lpstr>gelis</vt:lpstr>
      <vt:lpstr>gflat</vt:lpstr>
      <vt:lpstr>gsharp</vt:lpstr>
      <vt:lpstr>justM3</vt:lpstr>
      <vt:lpstr>MeanChart!m3bps</vt:lpstr>
      <vt:lpstr>m3bps</vt:lpstr>
      <vt:lpstr>M3c</vt:lpstr>
      <vt:lpstr>MeanChart!major3</vt:lpstr>
      <vt:lpstr>major3</vt:lpstr>
      <vt:lpstr>MeanChart!minor3</vt:lpstr>
      <vt:lpstr>minor3</vt:lpstr>
      <vt:lpstr>MeanChart!MM3bps</vt:lpstr>
      <vt:lpstr>MM3bps</vt:lpstr>
      <vt:lpstr>octave</vt:lpstr>
      <vt:lpstr>offset</vt:lpstr>
      <vt:lpstr>offsetsTitle</vt:lpstr>
      <vt:lpstr>MeanChart!Print_Area</vt:lpstr>
      <vt:lpstr>WellChart!Print_Area</vt:lpstr>
      <vt:lpstr>quoteMajor</vt:lpstr>
      <vt:lpstr>quoteMinor</vt:lpstr>
      <vt:lpstr>semitone</vt:lpstr>
      <vt:lpstr>source</vt:lpstr>
      <vt:lpstr>MeanChart!synchrony1</vt:lpstr>
      <vt:lpstr>synchrony1</vt:lpstr>
      <vt:lpstr>totaloffset</vt:lpstr>
    </vt:vector>
  </TitlesOfParts>
  <Company>Sakson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v-jakant</dc:creator>
  <cp:lastModifiedBy>Jason Kanter</cp:lastModifiedBy>
  <cp:lastPrinted>2010-11-04T03:00:20Z</cp:lastPrinted>
  <dcterms:created xsi:type="dcterms:W3CDTF">2008-06-19T01:32:11Z</dcterms:created>
  <dcterms:modified xsi:type="dcterms:W3CDTF">2019-03-09T19:08:08Z</dcterms:modified>
</cp:coreProperties>
</file>